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7" activeTab="0"/>
  </bookViews>
  <sheets>
    <sheet name="ตารางที่1" sheetId="1" r:id="rId1"/>
    <sheet name="ตารางที่2" sheetId="2" r:id="rId2"/>
    <sheet name="ตารางที่3ปันส่วน" sheetId="3" state="hidden" r:id="rId3"/>
    <sheet name="ตารางที่3 " sheetId="4" r:id="rId4"/>
    <sheet name="ตารางที่3 ปี 59" sheetId="5" state="hidden" r:id="rId5"/>
    <sheet name="ตารางที่3 (ปี 60)" sheetId="6" state="hidden" r:id="rId6"/>
    <sheet name="ตารางที่4 " sheetId="7" r:id="rId7"/>
    <sheet name="ตารางที่ 5  " sheetId="8" r:id="rId8"/>
    <sheet name="ตารางที่ 6 " sheetId="9" r:id="rId9"/>
    <sheet name="ตารางที่5" sheetId="10" state="hidden" r:id="rId10"/>
    <sheet name="ตารางที่6" sheetId="11" state="hidden" r:id="rId11"/>
    <sheet name="ตารางที่7.1 " sheetId="12" r:id="rId12"/>
    <sheet name="ตารางที่7.2  " sheetId="13" r:id="rId13"/>
    <sheet name="ตารางที่7.2 " sheetId="14" state="hidden" r:id="rId14"/>
    <sheet name="ตารางที่ 8.1" sheetId="15" r:id="rId15"/>
    <sheet name="ตารางที่8.2" sheetId="16" r:id="rId16"/>
    <sheet name="ตารางที่9.1" sheetId="17" r:id="rId17"/>
    <sheet name="ตารางที่9.2" sheetId="18" r:id="rId18"/>
    <sheet name="ตารางที่10" sheetId="19" r:id="rId19"/>
    <sheet name="ตารางที่10.2" sheetId="20" r:id="rId20"/>
    <sheet name="ตารางที่11" sheetId="21" r:id="rId21"/>
    <sheet name="ตารางที่11.2" sheetId="22" r:id="rId22"/>
    <sheet name="ตารางที่12" sheetId="23" r:id="rId23"/>
    <sheet name="ตารางที่12.2" sheetId="24" r:id="rId24"/>
  </sheets>
  <definedNames>
    <definedName name="_xlnm.Print_Area" localSheetId="7">'ตารางที่ 5  '!$A$1:$J$15</definedName>
    <definedName name="_xlnm.Print_Area" localSheetId="8">'ตารางที่ 6 '!$A$1:$J$9</definedName>
    <definedName name="_xlnm.Print_Area" localSheetId="14">'ตารางที่ 8.1'!$A$1:$T$15</definedName>
    <definedName name="_xlnm.Print_Area" localSheetId="18">'ตารางที่10'!$A$1:$T$11</definedName>
    <definedName name="_xlnm.Print_Area" localSheetId="20">'ตารางที่11'!$A$1:$Y$56</definedName>
    <definedName name="_xlnm.Print_Area" localSheetId="21">'ตารางที่11.2'!$A$1:$O$21</definedName>
    <definedName name="_xlnm.Print_Area" localSheetId="22">'ตารางที่12'!$A$1:$J$14</definedName>
    <definedName name="_xlnm.Print_Area" localSheetId="1">'ตารางที่2'!$A$1:$R$51</definedName>
    <definedName name="_xlnm.Print_Area" localSheetId="3">'ตารางที่3 '!$A$1:$J$52</definedName>
    <definedName name="_xlnm.Print_Area" localSheetId="5">'ตารางที่3 (ปี 60)'!$A$1:$K$60</definedName>
    <definedName name="_xlnm.Print_Area" localSheetId="4">'ตารางที่3 ปี 59'!$A$1:$K$49</definedName>
    <definedName name="_xlnm.Print_Area" localSheetId="2">'ตารางที่3ปันส่วน'!$B$1:$K$61</definedName>
    <definedName name="_xlnm.Print_Area" localSheetId="6">'ตารางที่4 '!$A$1:$J$13</definedName>
    <definedName name="_xlnm.Print_Area" localSheetId="11">'ตารางที่7.1 '!$A$1:$U$55</definedName>
    <definedName name="_xlnm.Print_Area" localSheetId="13">'ตารางที่7.2 '!$A$1:$N$16</definedName>
    <definedName name="_xlnm.Print_Area" localSheetId="12">'ตารางที่7.2  '!$A$1:$N$14</definedName>
    <definedName name="_xlnm.Print_Area" localSheetId="15">'ตารางที่8.2'!$A$1:$P$8</definedName>
    <definedName name="_xlnm.Print_Area" localSheetId="16">'ตารางที่9.1'!$A$1:$T$17</definedName>
    <definedName name="_xlnm.Print_Titles" localSheetId="20">'ตารางที่11'!$1:$6</definedName>
    <definedName name="_xlnm.Print_Titles" localSheetId="1">'ตารางที่2'!$1:$5</definedName>
    <definedName name="_xlnm.Print_Titles" localSheetId="3">'ตารางที่3 '!$3:$3</definedName>
    <definedName name="_xlnm.Print_Titles" localSheetId="5">'ตารางที่3 (ปี 60)'!$3:$3</definedName>
    <definedName name="_xlnm.Print_Titles" localSheetId="4">'ตารางที่3 ปี 59'!$3:$3</definedName>
    <definedName name="_xlnm.Print_Titles" localSheetId="2">'ตารางที่3ปันส่วน'!$3:$3</definedName>
    <definedName name="_xlnm.Print_Titles" localSheetId="11">'ตารางที่7.1 '!$4:$4</definedName>
  </definedNames>
  <calcPr fullCalcOnLoad="1"/>
</workbook>
</file>

<file path=xl/comments15.xml><?xml version="1.0" encoding="utf-8"?>
<comments xmlns="http://schemas.openxmlformats.org/spreadsheetml/2006/main">
  <authors>
    <author>Sujittra Singhnakrong</author>
  </authors>
  <commentList>
    <comment ref="A5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ถามพี่สุกัญญา คำกา สตท.เจ้าของเรื่อง</t>
        </r>
      </text>
    </comment>
  </commentList>
</comments>
</file>

<file path=xl/comments3.xml><?xml version="1.0" encoding="utf-8"?>
<comments xmlns="http://schemas.openxmlformats.org/spreadsheetml/2006/main">
  <authors>
    <author>sujittra singhnakrong</author>
    <author>Sujittra Singhnakrong</author>
  </authors>
  <commentList>
    <comment ref="I3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ดูมในราบงานที่ส่งกลับมากรณีทางคลังต้องทำหนังสือสอบถามแต่ละสำนัก
</t>
        </r>
      </text>
    </comment>
    <comment ref="C8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I8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สตท=9
สยท=1</t>
        </r>
      </text>
    </comment>
    <comment ref="J24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59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J34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59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J3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สอบถามสสท.พี่แอร์ จำนวนโครงการที่ยื่นขอรับการส่งเสริมแต่ละ Secter มีกี่โครงการ(ไม่เอาโครงการที่อนุมัติเอาที่ยื่นขอ) ปี 59 ต.ค.58-ก.ย.59</t>
        </r>
      </text>
    </comment>
    <comment ref="J38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เรียกในระบบ GFMIS คำสั่ง 
FB03 วันที่ผ่านรายการ 01.10.2015-30.09.2016</t>
        </r>
      </text>
    </comment>
    <comment ref="J39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เรียกในระบบ GFMIS คำสั่ง
ZMM-PO-RPT02 วันที่บันทึก </t>
        </r>
      </text>
    </comment>
    <comment ref="I2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กตป.+ศบท.+</t>
        </r>
      </text>
    </comment>
    <comment ref="I27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ศบท.+</t>
        </r>
      </text>
    </comment>
  </commentList>
</comments>
</file>

<file path=xl/comments5.xml><?xml version="1.0" encoding="utf-8"?>
<comments xmlns="http://schemas.openxmlformats.org/spreadsheetml/2006/main">
  <authors>
    <author>Sujittra Singhnakrong</author>
  </authors>
  <commentList>
    <comment ref="C8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C22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กตป.+สยท.</t>
        </r>
      </text>
    </comment>
  </commentList>
</comments>
</file>

<file path=xl/comments6.xml><?xml version="1.0" encoding="utf-8"?>
<comments xmlns="http://schemas.openxmlformats.org/spreadsheetml/2006/main">
  <authors>
    <author>Sujittra Singhnakrong</author>
  </authors>
  <commentList>
    <comment ref="C8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C22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กตป.+สยท.</t>
        </r>
      </text>
    </comment>
    <comment ref="C23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สยท.</t>
        </r>
      </text>
    </comment>
    <comment ref="C29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สยท.</t>
        </r>
      </text>
    </comment>
    <comment ref="C26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สยท.+สตท.</t>
        </r>
      </text>
    </comment>
    <comment ref="I19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60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I16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สอบถามสสท.พี่แอร์ จำนวนโครงการที่ยื่นขอรับการส่งเสริมแต่ละ Secter มีกี่โครงการ(ไม่เอาโครงการที่อนุมัติเอาที่ยื่นขอ) ปี 60 ต.ค.59-ก.ย.60</t>
        </r>
      </text>
    </comment>
    <comment ref="I24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60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I17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60 ของสกท.ในชุดแผนเพิ่มฯของพี่มด ตรงหัวข้อ จำนวนการจัดสัมนาการลงทุน/บรรยายของสนง.ตปท.  118</t>
        </r>
      </text>
    </comment>
    <comment ref="I36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นับจำนวนเลขสัญญาในทะเบียนคุมงปม.</t>
        </r>
      </text>
    </comment>
  </commentList>
</comments>
</file>

<file path=xl/sharedStrings.xml><?xml version="1.0" encoding="utf-8"?>
<sst xmlns="http://schemas.openxmlformats.org/spreadsheetml/2006/main" count="1339" uniqueCount="453">
  <si>
    <t>เงินในงบประมาณ</t>
  </si>
  <si>
    <t>เงินนอกงบประมาณ</t>
  </si>
  <si>
    <t>งบกลาง</t>
  </si>
  <si>
    <t>ค่าเสื่อมราคา</t>
  </si>
  <si>
    <t>ครั้ง</t>
  </si>
  <si>
    <t>ราย</t>
  </si>
  <si>
    <t>คน</t>
  </si>
  <si>
    <t>รายการ</t>
  </si>
  <si>
    <t>คน/วัน</t>
  </si>
  <si>
    <t>ปริมาณ</t>
  </si>
  <si>
    <t>หน่วยนับ</t>
  </si>
  <si>
    <t>ต้นทุนรวม</t>
  </si>
  <si>
    <t>ต้นทุนต่อหน่วย</t>
  </si>
  <si>
    <t>ผลผลิตย่อย</t>
  </si>
  <si>
    <t>กิจกรรมย่อย</t>
  </si>
  <si>
    <t>กิจกรรมย่อยของหน่วยงานหลัก</t>
  </si>
  <si>
    <t>กิจกรรมย่อยของหน่วยงานสนับสนุน</t>
  </si>
  <si>
    <t>(หน่วย : บาท)</t>
  </si>
  <si>
    <t>รวม</t>
  </si>
  <si>
    <t>กิจกรรมหลัก</t>
  </si>
  <si>
    <t>ผลผลิตหลัก</t>
  </si>
  <si>
    <t>ประเภทค่าใช้จ่าย</t>
  </si>
  <si>
    <t>1.  ค่าใช้จ่ายบุคลากร</t>
  </si>
  <si>
    <t>2.  ค่าใช้จ่ายด้านการฝึกอบรม</t>
  </si>
  <si>
    <t>3.  ค่าใช้จ่ายเดินทาง</t>
  </si>
  <si>
    <t>4.  ค่าตอบแทน ใช้สอย วัสดุและค่าสาธารณูปโภค</t>
  </si>
  <si>
    <t>5.  ค่าเสื่อมราคาและค่าตัดจำหน่าย</t>
  </si>
  <si>
    <t>รวมต้นทุนผลผลิต</t>
  </si>
  <si>
    <t>หมายเหตุ :</t>
  </si>
  <si>
    <t>ค่าใช้จ่ายในระบบ GFMIS</t>
  </si>
  <si>
    <t>หัก</t>
  </si>
  <si>
    <t>ศูนย์ต้นทุน</t>
  </si>
  <si>
    <t>ศูนย์ต้นทุนหลัก</t>
  </si>
  <si>
    <t>ศูนย์ต้นทุนสนับสนุน</t>
  </si>
  <si>
    <t>ค่าใช้จ่ายบุคลากร</t>
  </si>
  <si>
    <t>ค่าตอบแทน ใช้สอย วัสดุและสาธารณูปโภค</t>
  </si>
  <si>
    <t>ค่าใช้จ่ายเดินทาง</t>
  </si>
  <si>
    <t>ค่าเสื่อมราคาและค่าตัดจำหน่าย</t>
  </si>
  <si>
    <t>ค่าใช้จ่ายด้านการฝึกอบรม</t>
  </si>
  <si>
    <t>ค่าจำหน่ายจากการขายสินทรัพย์</t>
  </si>
  <si>
    <t>ค่าใช้จ่ายทางตรง</t>
  </si>
  <si>
    <t>ค่าใช้จ่ายทางอ้อม</t>
  </si>
  <si>
    <t>ชั่วโมง/คน</t>
  </si>
  <si>
    <t>ต้นทุนรวม เพิ่ม/(ลด)%</t>
  </si>
  <si>
    <t>หน่วยนับ เพิ่ม/(ลด)%</t>
  </si>
  <si>
    <t>ต้นทุนต่อหน่วย เพิ่ม/(ลด)%</t>
  </si>
  <si>
    <t>ผลการเปรียบเทียบ</t>
  </si>
  <si>
    <t>ตารางที่ 7</t>
  </si>
  <si>
    <t>เปรียบเทียบผลการคำนวณต้นทุนกิจกรรมย่อยแยกตามแหล่งเงิน</t>
  </si>
  <si>
    <t>ตารางที่ 8</t>
  </si>
  <si>
    <t>เปรียบเทียบผลการคำนวณต้นทุนกิจกรรมหลักแยกตามแหล่งเงิน</t>
  </si>
  <si>
    <t>ตารางที่ 9</t>
  </si>
  <si>
    <t>เปรียบเทียบผลการคำนวณต้นทุนผลผลิตย่อยแยกตามแหล่งเงิน</t>
  </si>
  <si>
    <t>ตารางที่ 10</t>
  </si>
  <si>
    <t>เปรียบเทียบผลการคำนวณต้นทุนผลผลิตหลักแยกตามแหล่งเงิน</t>
  </si>
  <si>
    <t>ต้นทุนคงที่</t>
  </si>
  <si>
    <t>ต้นทุนผันแปร</t>
  </si>
  <si>
    <t>ต้นทุนคงที่ เพิ่ม/(ลด)%</t>
  </si>
  <si>
    <t>ต้นทุนผันแปร เพิ่ม/(ลด)%</t>
  </si>
  <si>
    <t>ตารางที่ 12  รายงานเปรียบเทียบต้นทุนทางอ้อมตามลักษณะของต้นทุน  (คงที่/ผันแปร)</t>
  </si>
  <si>
    <t>ต้นทุนทางอ้อม</t>
  </si>
  <si>
    <t>ต้นทุนผันแปร เพิ่ม/(ลด) %</t>
  </si>
  <si>
    <t>หมายเหตุ  :  ต้นทุนคงที่ หมายถึง ต้นทุนที่ไม่ได้เปลี่ยนแปลงไปตามปริมาณกิจกรรมหรือผลผลิตของหน่วยงาน</t>
  </si>
  <si>
    <t>รวมต้นทุนผลผลิตทั้งสิ้น</t>
  </si>
  <si>
    <t>รวมต้นทุนทั้งสิ้น</t>
  </si>
  <si>
    <t>ตารางที่ 11</t>
  </si>
  <si>
    <t xml:space="preserve">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</t>
  </si>
  <si>
    <t xml:space="preserve"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</t>
  </si>
  <si>
    <t>(อธิบายเฉพาะศูนย์ต้นทุนที่เปลี่ยนแปลงอย่างมีสาระสำคัญ)</t>
  </si>
  <si>
    <t>ตารางที่ 12</t>
  </si>
  <si>
    <t xml:space="preserve">รายงานเปรียบเทียบต้นทุนทางอ้อมตามลักษณะของต้นทุน (คงที่/ผันแปร) </t>
  </si>
  <si>
    <t xml:space="preserve">การวิเคราะห์สาเหตุของการเปลี่ยนแปลงของต้นทุนทางอ้อมตามลักษณะของต้นทุน (คงที่/ผันแปร) </t>
  </si>
  <si>
    <t>(อธิบายเฉพาะค่าใช้จ่ายทางอ้อมที่เปลี่ยนแปลงอย่างมีสาระสำคัญ)</t>
  </si>
  <si>
    <r>
      <t>ตารางที่ 2</t>
    </r>
    <r>
      <rPr>
        <b/>
        <sz val="14"/>
        <color indexed="8"/>
        <rFont val="TH SarabunPSK"/>
        <family val="2"/>
      </rPr>
      <t xml:space="preserve">  รายงานต้นทุนตามศูนย์ต้นทุนแยกตามประเภทค่าใช้จ่าย</t>
    </r>
  </si>
  <si>
    <r>
      <t>ตารางที่ 6</t>
    </r>
    <r>
      <rPr>
        <b/>
        <sz val="15"/>
        <color indexed="8"/>
        <rFont val="TH SarabunPSK"/>
        <family val="2"/>
      </rPr>
      <t xml:space="preserve">  รายงานต้นทุนผลผลิตหลักแยกตามแหล่งของเงิน</t>
    </r>
  </si>
  <si>
    <r>
      <t xml:space="preserve">ตารางที่ 7 </t>
    </r>
    <r>
      <rPr>
        <b/>
        <sz val="16"/>
        <color indexed="8"/>
        <rFont val="TH SarabunPSK"/>
        <family val="2"/>
      </rPr>
      <t xml:space="preserve"> เปรียบเทียบผลการคำนวณต้นทุนกิจกรรมย่อยแยกตามแหล่งเงิน</t>
    </r>
  </si>
  <si>
    <r>
      <t>ตารางที่ 10</t>
    </r>
    <r>
      <rPr>
        <b/>
        <sz val="15"/>
        <color indexed="8"/>
        <rFont val="TH SarabunPSK"/>
        <family val="2"/>
      </rPr>
      <t xml:space="preserve">  เปรียบเทียบผลการคำนวณต้นทุนผลผลิตหลักแยกตามแหล่งเงิน</t>
    </r>
  </si>
  <si>
    <r>
      <t>ตารางที่ 11</t>
    </r>
    <r>
      <rPr>
        <sz val="12"/>
        <color indexed="8"/>
        <rFont val="TH SarabunPSK"/>
        <family val="2"/>
      </rPr>
      <t xml:space="preserve">  รายงานเปรียบเทียบต้นทุนทางตรงตามศูนย์ต้นทุนแยกตามประเภทค่าใช้จ่ายและลักษณะของต้นทุน (คงที่และผันแปร)</t>
    </r>
  </si>
  <si>
    <t xml:space="preserve">                 ต้นทุนผันแปร หมายถึง ต้นทุนที่เปลี่ยนแปลงไปตามปริมาณกิจกรรมหรือผลผลิตของหน่วยงาน</t>
  </si>
  <si>
    <t>รายการ T/E ระหว่างหน่วยงาน</t>
  </si>
  <si>
    <t>ค่าใช้จ่ายเกี่ยวกับบำเหน็จบำนาญ</t>
  </si>
  <si>
    <t>ตารางที่ 1รายงานต้นทุนรวมของหน่วยงาน โดยแยกประเภทตามแหล่งของเงิน</t>
  </si>
  <si>
    <t>ค่าใช้จ่ายเดินทาง (5103)</t>
  </si>
  <si>
    <t xml:space="preserve">  ค่าใช้จ่ายบุคลากร (5101)</t>
  </si>
  <si>
    <t>ค่าใช้จ่ายด้านการฝึกอบรม (5102)</t>
  </si>
  <si>
    <t>ค่าเสื่อมราคาและค่าตัดจำหน่าย (5105)</t>
  </si>
  <si>
    <t>ค่าจำหน่ายจากการขายสินทรัพย์ (5203)</t>
  </si>
  <si>
    <t>ด้าน</t>
  </si>
  <si>
    <t>จำนวนหนังสือเข้า-ออก</t>
  </si>
  <si>
    <t>กิโลเมตร</t>
  </si>
  <si>
    <t>ระบบ</t>
  </si>
  <si>
    <t>จำนวนเครื่องคอมพิวเตอร์</t>
  </si>
  <si>
    <t>1. การส่งเสริมการลงทุนในอุตสาหกรรมเป้าหมายและอุตสาหกรรมสำคัญตามนโยบายรัฐบาล</t>
  </si>
  <si>
    <t>2. การดำเนินภารกิจในต่างประเทศ</t>
  </si>
  <si>
    <t>3. การเจรจาและทำข้อตกลงด้านการลงทุนในเวทีระหว่างประเทศ</t>
  </si>
  <si>
    <t>4. การพัฒนาปัจจัยสนับสนุนการลงทุน</t>
  </si>
  <si>
    <t>5. การส่งเสริมการลงทุนไทยในต่างประเทศ</t>
  </si>
  <si>
    <t>1. การลงทุนในประเทศที่ได้รับการส่งเสริม</t>
  </si>
  <si>
    <t>โครงการ</t>
  </si>
  <si>
    <t>งาน</t>
  </si>
  <si>
    <t>จำนวนบัตรส่งเสริม</t>
  </si>
  <si>
    <t>จำนวนประกาศ</t>
  </si>
  <si>
    <t>สิ่งที่ส่งมาด้วย 1</t>
  </si>
  <si>
    <t>สิ่งที่ส่งมาด้วย 2</t>
  </si>
  <si>
    <t>ศูนย์บริการลงทุน</t>
  </si>
  <si>
    <t>ศูนย์เศรษฐกิจการลงทุนภาคที่ 1</t>
  </si>
  <si>
    <t>ศูนย์เศรษฐกิจการลงทุนภาคที่ 2</t>
  </si>
  <si>
    <t>ศูนย์เศรษฐกิจการลงทุนภาคที่ 5</t>
  </si>
  <si>
    <t>กลุ่มบริหารงานคลังและพัสดุ</t>
  </si>
  <si>
    <t>กลุ่มบริหารทรัพยากรบุคคล</t>
  </si>
  <si>
    <t>กลุ่มบัตรส่งเสริม</t>
  </si>
  <si>
    <t>กลุ่มบริหารทั่วไป</t>
  </si>
  <si>
    <t>กลุ่มกฎหมาย</t>
  </si>
  <si>
    <t>กลุ่มการประชุม</t>
  </si>
  <si>
    <t>กลุ่มพัฒนาระบบบริหาร</t>
  </si>
  <si>
    <t>กลุ่มตรวจสอบภายใน</t>
  </si>
  <si>
    <t>กองความร่วมมือการลงทุนต่างประเทศ</t>
  </si>
  <si>
    <t>กองส่งเสริมการลงทุนไทยในต่างประเทศ</t>
  </si>
  <si>
    <r>
      <t xml:space="preserve">ตารางที่ 3 </t>
    </r>
    <r>
      <rPr>
        <b/>
        <sz val="16"/>
        <rFont val="TH SarabunPSK"/>
        <family val="2"/>
      </rPr>
      <t xml:space="preserve"> รายงานต้นทุนกิจกรรมย่อยแยกตามแหล่งเงิน </t>
    </r>
  </si>
  <si>
    <t xml:space="preserve">     ค่าใช้จ่าย             เดินทาง       (อ5103)</t>
  </si>
  <si>
    <t xml:space="preserve">ประจำการสถานเอกอัครราชทูต ณ กรุงโซล  </t>
  </si>
  <si>
    <t xml:space="preserve">ศูนย์เศรษฐกิจการลงทุนภาคที่ 7 </t>
  </si>
  <si>
    <t xml:space="preserve">ศูนย์เศรษฐกิจการลงทุนภาคที่ 3 </t>
  </si>
  <si>
    <t xml:space="preserve">ศูนย์เศรษฐกิจการลงทุนภาคที่ 4 </t>
  </si>
  <si>
    <t xml:space="preserve">ศูนย์เศรษฐกิจการลงทุนภาคที่ 6 </t>
  </si>
  <si>
    <t xml:space="preserve">ปจก.สถานกงสุลใหญ่  ณ นครลอสแอนเจลิส </t>
  </si>
  <si>
    <t xml:space="preserve">สนง.เศรษฐกิจการลงทุน  ณ นครแฟรงค์เฟิร์ต </t>
  </si>
  <si>
    <t>สนง.เศรษฐกิจการลงทุน  ณ กรุงปารีส</t>
  </si>
  <si>
    <t xml:space="preserve">สนง.เศรษฐกิจการลงทุน  ณ กรุงโตเกียว </t>
  </si>
  <si>
    <t xml:space="preserve">ปจก.สถานกงสุลใหญ่  ณ นครโอซากา  </t>
  </si>
  <si>
    <t>สนง.เศรษฐกิจการลงทุน ณ นครเซี่ยงไฮ้</t>
  </si>
  <si>
    <t xml:space="preserve">ปจก.สถานเอกอัครราชทูต  ณ กรุงปักกิ่ง </t>
  </si>
  <si>
    <t xml:space="preserve">ปจก.สถานกงสุลใหญ่  ณ นครกวางโจว </t>
  </si>
  <si>
    <t xml:space="preserve">ปจก.สำนักงานการค้าและเศรษฐกิจไทย ณ ไทเป  </t>
  </si>
  <si>
    <t xml:space="preserve">ปจก.สถานกงสุลใหญ่  ณ นครซิดนีย์  </t>
  </si>
  <si>
    <t xml:space="preserve">ปจก.สถานกงสุลใหญ่   ณ เมืองมุมไบ           </t>
  </si>
  <si>
    <t xml:space="preserve">ปจก.สถานเอกอัครราชทูต  ณ กรุงสตอกโฮล์ม  </t>
  </si>
  <si>
    <t xml:space="preserve">ศูนย์ประสานการบริการด้านการลงทุน </t>
  </si>
  <si>
    <t>6. การพัฒนาเทคโนโลยีสารสนเทศและการสื่อสาร</t>
  </si>
  <si>
    <t>0103200010</t>
  </si>
  <si>
    <t>0103200011</t>
  </si>
  <si>
    <t>0103200013</t>
  </si>
  <si>
    <t>0103200014</t>
  </si>
  <si>
    <t>0103200016</t>
  </si>
  <si>
    <t>0103200017</t>
  </si>
  <si>
    <t>0103200018</t>
  </si>
  <si>
    <t>0103200019</t>
  </si>
  <si>
    <t>0103200020</t>
  </si>
  <si>
    <t>0103200021</t>
  </si>
  <si>
    <t>0103200022</t>
  </si>
  <si>
    <t>0103200023</t>
  </si>
  <si>
    <t>0103200024</t>
  </si>
  <si>
    <t>0103200025</t>
  </si>
  <si>
    <t>0103200026</t>
  </si>
  <si>
    <t>0103200027</t>
  </si>
  <si>
    <t>0103200028</t>
  </si>
  <si>
    <t>0103200029</t>
  </si>
  <si>
    <t>0103200030</t>
  </si>
  <si>
    <t>0103200031</t>
  </si>
  <si>
    <t>0103200032</t>
  </si>
  <si>
    <t>0103200033</t>
  </si>
  <si>
    <t>0103200034</t>
  </si>
  <si>
    <t>0103200035</t>
  </si>
  <si>
    <t>0103200036</t>
  </si>
  <si>
    <t>0103200037</t>
  </si>
  <si>
    <t>0103200038</t>
  </si>
  <si>
    <t>0103200039</t>
  </si>
  <si>
    <t>0103200040</t>
  </si>
  <si>
    <t>0103200041</t>
  </si>
  <si>
    <t>0103200042</t>
  </si>
  <si>
    <t>0103200043</t>
  </si>
  <si>
    <t>0103200001</t>
  </si>
  <si>
    <t>0103200002</t>
  </si>
  <si>
    <t>0103200003</t>
  </si>
  <si>
    <t>0103200004</t>
  </si>
  <si>
    <t>0103200005</t>
  </si>
  <si>
    <t>0103200006</t>
  </si>
  <si>
    <t>0103200007</t>
  </si>
  <si>
    <t>0103200008</t>
  </si>
  <si>
    <t>0103200009</t>
  </si>
  <si>
    <t>0103200012</t>
  </si>
  <si>
    <t>0103200015</t>
  </si>
  <si>
    <t xml:space="preserve">งานประชาสัมพันธ์เผยแพร่ผ่านสื่อ, งานเผยแพร่นโยบายและให้บริการด้านการลงทุน, งานเผยแพร่ผ่าน Website มีต้นทุนต่อหน่วยลดลงร้อยละ 67.75, 31.54, และ </t>
  </si>
  <si>
    <t>25.27 ปริมาณหน่วยนับเพิ่มขึ้นมากกว่าร้อยละ 100, ร้อยละ 42.76 และร้อยละ 25 ตามลำดับ  ซึ่งศูนย์บริการลงทุนรับผิดชอบกิจกรรมย่อยดังกล่าว ได้ดำเนินการโฆษณา ประชาสัมพันธ์</t>
  </si>
  <si>
    <t>เพื่อเสริมสร้างภาพลักษณ์การลงทุนของประเทศ ฟื้นฟูความเชื่อมั่นให้นักลงทุน คู่ค้า และนักท่องเที่ยว ว่าประเทศไทยปลอดภัยและมีพื้นฐานเศรษฐกิจที่แข็งแกร่ง พร้อมสำหรับการดำเนินธุรกิจ</t>
  </si>
  <si>
    <t>และท่องเที่ยว ในระยสั้นและระยะยาว รวมทั้งสร้างความเชื่อมั่นในระยะยาวว่าประเทศไทยเนศูนย์กลางทางเศรษฐกิจของภูมิภาค (Regional Economic Power House) จึงทำให้ปริมาณหน่วย</t>
  </si>
  <si>
    <t>นับเพิ่มขึ้น ส่งผลให้ต้นทุนต่อหน่วยลดลง</t>
  </si>
  <si>
    <r>
      <t>ตารางที่ 5</t>
    </r>
    <r>
      <rPr>
        <b/>
        <sz val="16"/>
        <color indexed="8"/>
        <rFont val="TH SarabunPSK"/>
        <family val="2"/>
      </rPr>
      <t xml:space="preserve">  รายงานต้นทุนกิจกรรมหลักแยกตามแหล่งของเงิน</t>
    </r>
  </si>
  <si>
    <r>
      <t>ตารางที่ 4</t>
    </r>
    <r>
      <rPr>
        <b/>
        <sz val="16"/>
        <color indexed="8"/>
        <rFont val="TH SarabunPSK"/>
        <family val="2"/>
      </rPr>
      <t xml:space="preserve">  รายงานต้นทุนผลผลิตย่อยแยกตามแหล่งของเงิน</t>
    </r>
  </si>
  <si>
    <r>
      <t>ตารางที่ 9</t>
    </r>
    <r>
      <rPr>
        <b/>
        <sz val="16"/>
        <color indexed="8"/>
        <rFont val="TH SarabunPSK"/>
        <family val="2"/>
      </rPr>
      <t xml:space="preserve">  เปรียบเทียบผลการคำนวณต้นทุนกิจกรรมหลักแยกตามแหล่งของเงิน</t>
    </r>
  </si>
  <si>
    <r>
      <t>ตารางที่ 8</t>
    </r>
    <r>
      <rPr>
        <b/>
        <sz val="16"/>
        <color indexed="8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</si>
  <si>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 xml:space="preserve">สำนักพัฒนาปัจจัยสนับสนุนการลงทุน(0103200017) ต้นทุนผันแปรลดลงร้อยละ 75.11 เนื่องจากปี 2557 มีการเบิกจ่ายเงินกันเหลื่อมปี 2556 </t>
  </si>
  <si>
    <t>ของปี 2558 น้อยกว่าปี 2557 ส่งผลให้ต้นทุนรวมปี 2558 ลดลง</t>
  </si>
  <si>
    <t>สำนักบริหารการลงทุน 4 (0103200022) ต้นทุนผันแปรลดลงร้อยละ 85.89 เนื่องจากปี 2557 มีรายการค่าเช่าที่จอดรถจากเหตุความไม่สงบทาง</t>
  </si>
  <si>
    <t>การเมือง จำนวน 20,450 บาท และค่าใช้จ่ายในการฝึกอบรมภาษาอังกฤษเพื่อสื่อสารระหว่างประเทศหลักสูตร Intensive Language Course:ILC จำนวน 40,000 บาท เมื่อเทียบ</t>
  </si>
  <si>
    <t>กับปี 2558 ทำให้ค่าใช้จ่ายด้านการฝึกอบรมและค่าใช้สอยปี 2558 น้อยกว่าปี 2557 ส่งผลให้ต้นทุนผันแปรปี 2558 ลดลงร้อยละ 85.89</t>
  </si>
  <si>
    <t xml:space="preserve">งานออกแบบและผลิตงานสร้างสรรค์และประชาสัมพันธ์ ต้นทุนต่อหน่วยเพิ่มขึ้น ร้อยละ 93.63 ต้นทุนรวมเพิ่มขึ้นมากกว่าร้อยละ 100 และปริมาณหน่วยนับเพิ่มขึ้นร้อยละ </t>
  </si>
  <si>
    <t xml:space="preserve">66.67 ซึ่งศูนย์บริการลงทุนรับผิดชอบกิจกรรมย่อยดังกล่าว ได้ดำเนินการโฆษณา ประชาสัมพันธ์ เพื่อเสริมสร้างภาพลักษณ์การลงทุนของประเทศ ฟื้นฟูความเชื่อมั่นให้นักลงทุน คู่ค้า </t>
  </si>
  <si>
    <t>(Regional Economic Power House) ส่งผลให้ต้นทุนรวม ปริมาณหน่วยนับ และต้นทุนต่อหน่วยเพิ่มขึ้น</t>
  </si>
  <si>
    <t xml:space="preserve">งานบริการลงทุน และศูนย์วีซ่าและหน่วยช่างฝีมือ ต้นทุนต่อหน่วยเพิ่มขึ้นมากกว่าร้อยละ 100 ปริมาณหน่วยนับลดลง ร้อยละ 61.29 สืบเนื่องจากในปีงบประมาณ 2558 </t>
  </si>
  <si>
    <t>งานเจรจาและทำข้อตกลงด้านการลงทุน ต้นทุนต่อหน่วยลดลงร้อยละ 56.62 ปริมาณหน่วยนับเพิ่มขึ้นมากกว่าร้อยละ 100 สืบเนื่องจากปีงบประมาณ 2557 ได้วางแผน</t>
  </si>
  <si>
    <t>เจรจาและทำข้อตกลงด้านการลงทุนไว้ จำนวน 35 ครั้ง แต่ในปี 2557 ทำได้เพียง 18 ครั้ง อันเนื่องมาจากความไม่สงบทางการเมือง ดังนั้นในปี 2558 กองความร่วมมือการลงทุนต่างประเทศ</t>
  </si>
  <si>
    <t>สามารถดำเนินการได้ตามแผน จึงทำให้ปริมาณหน่วยนับเพิ่มขึ้น ส่งผลให้ต้นทุนต่อหน่วยลดลง</t>
  </si>
  <si>
    <t>งานจัดกิจกรรมพัฒนาขีดความสามารถผู้ประกอบการไทย ต้นทุนต่อหน่วยลดลง ร้อยละ 40.70 ปริมาณหน่วยนับเพิ่มขึ้นร้อยละ 60 สืบเนื่องจากในปี 2558 มีการวางแผน</t>
  </si>
  <si>
    <t>เพิ่มขึ้น จึงทำให้หน่วยนับเพิ่มขึ้น ต้นทุนต่อหน่วยลดลง</t>
  </si>
  <si>
    <t>งานขอรับการส่งเสริมการลงทุน ต้นทุนต่อหน่วยลดลงร้อยละ 39.92 จำนวนโครงการเพิ่มขึ้นร้อยละ 64.15 สืบเนื่องจากโครงการที่ขอรับการส่งเสริมการลงทุนเพิ่มขึ้นมาก</t>
  </si>
  <si>
    <t>เป็นพิเศษในเดือนธันวาคม 2557 เพราะนักลงทุนจำนวนมากประสงค์จะยื่นขอรับการส่งเสริมตามนโยบายเดิมที่จะสิ้นสุดลงในวันที่ 31 ธันวาคม 2557 ( ประกาศสำนักงานคณะกรรมการส่งเสริม</t>
  </si>
  <si>
    <t>งานด้านเทคโนโลยีสารสนเทศภายในหน่วยงาน ต้นทุนต่อหน่วยลดลงร้อยละ 27.22 ปริมาณหน่วยนับเพิ่มขึ้นร้อยละ 28.97 สืบเนื่องจากปี 2558 มีการจัดซื้อ</t>
  </si>
  <si>
    <t>เครื่องคอมพิวเตอร์ จำนวน 100 เครื่อง, Printer จำนวน 8 เครื่อง, Notebook จำนวน 25 เครื่อง และTablet จำนวน 5 เครื่อง ทำให้ปริมาณหน่วยนับเพิ่มขึ้น ส่งผลให้ต้นทุนต่อหน่วยลดลง</t>
  </si>
  <si>
    <t xml:space="preserve">ด้านการจัดประชุมคณะกรรมการส่งเสริมการลงทุน, การประชุมกรรมการพิจารณาโครงการ และการประชุมคณะทำงานพิจารณาโครงการ ไม่สามารถจัดประชุมได้ตามแผนที่วางไว้ </t>
  </si>
  <si>
    <t>เมื่อเปรียบเทียบกับปี 2558 จึงทำให้ปริมาณหน่วยนับเพิ่มขึ้น และต้นทุนต่อหน่วยลดลง</t>
  </si>
  <si>
    <t>งานด้านกฎหมาย ต้นทุนต่อหน่วยลดลง ร้อยละ 49.90 แต่ปริมาณหน่วยนับเพิ่มขึ้นร้อยละ 72.32 เนื่องจากปีงบประมาณ 2558 กลุ่มกฎหมายได้ตอบข้อหารือภายในและ</t>
  </si>
  <si>
    <t>การเจรจาและทำข้อตกลงด้านการลงทุนในเวทีระหว่างประเทศ ต้นทุนต่อหน่วยลดลงร้อยละ 56.62 ปริมาณหน่วยนับเพิ่มขึ้นมากกว่าร้อยละ 100 สืบเนื่องจากปีงบประมาณ 2557</t>
  </si>
  <si>
    <t>ได้วางแผนเจรจาและทำข้อตกลงด้านการลงทุนไว้ จำนวน 35 ครั้ง แต่ในปี 2557 ทำได้เพียง 18 ครั้ง อันเนื่องมาจากความไม่สงบทางการเมือง ดังนั้นในปี 2558 กองความร่วมมือการลงทุนต่างประเทศ</t>
  </si>
  <si>
    <t xml:space="preserve">การพัฒนาเทคโนโลยีสารสนเทศและการสื่อสาร เนื่องจากในปีงบประมาณ 2558 สำนักงานคณะกรรมส่งเสริมการลงทุน ได้มี 2 ผลผลิต 6 กิจกรรมหลัก </t>
  </si>
  <si>
    <t>และนักท่องเที่ยว ว่าประเทศไทยมีความพร้อมสำหรับการดำเนินธุรกิจ ทั้งในร่ะยะสั้นและระยะยาว รวมทั้งสร้างความเชื่อมั่นในระยะยาวว่าประเทศไทยเป็นศูนย์กลางทางเศรษฐกิจของภูมิภาค</t>
  </si>
  <si>
    <t>งานเสริมสร้างความรู้แก่ผู้ประกอบการถึงอุตสาหกรรมขนาดเล็กและขนาดกลาง (SMEs) ในด้านต่าง ๆ ได้แก่ Seminar/ Competitiveness Enhancement  จัดสัมมนาและประสานงาน</t>
  </si>
  <si>
    <t>การลงทุน ที่ 2/2557 เรื่อง นโยบายและหลักเกณฑ์การส่งเสริมการลงทุน ลงวันที่ 3 ธันวาคม 2557 มีผลบังคับใช้วันที่ 1 มกราคม 2558 ) โดยหมวดเกษตรกรรม และผลิตผลจากการเกษตร</t>
  </si>
  <si>
    <t>มีจำนวนคำขอรับการส่งเสริมสูงสุด คือ 587 โครงการ</t>
  </si>
  <si>
    <t>ภายนอกด้านสิทธิประโยชน์จากปี 2557 จำนวน 284 เรื่อง เป็นจำนวน 800 เรื่องในปี 2558 ทำให้ปริมาณหน่วยนับเพิ่มขึ้นมากกว่าร้อยละ 100 ส่งผลให้ต้นทุนต่อหน่วยลดลง</t>
  </si>
  <si>
    <t xml:space="preserve">การพัฒนาเทคโนโลยีสารสนเทศและการสื่อสาร เนื่องจากในปีงบประมาณ 2558 สำนักงานคณะกรรมส่งเสริมการลงทุน ได้มี 2 ผลผลิต 6 กิจกรรมหลัก จากเดิมปี 2557  </t>
  </si>
  <si>
    <t>ร้อยละ 100</t>
  </si>
  <si>
    <t>ปริมาณหน่วยนับ และต้นทุนต่อหน่วยเพิ่มขึ้นร้อยละ 100</t>
  </si>
  <si>
    <t>จากเดิมปี 2557  มี 1 ผลผลิต 5 กิจกรรมหลัก ซึ่งกิจกรรมหลัก การพัฒนาเทคโนโลยีสารสนเทศและการสื่อสาร เป็นกิจกรรมหลักที่เกิดขึ้นใหม่ ดังนั้นจึงทำให้ต้นทุนรวม</t>
  </si>
  <si>
    <t>มี 1 ผลผลิต 5 กิจกรรมหลัก ซึ่งกิจกรรมหลัก การพัฒนาเทคโนโลยีสารสนเทศและการสื่อสาร เป็นกิจกรรมหลักที่เกิดขึ้นใหม่ ดังนั้นจึงทำให้ต้นทุนรวมปริมาณหน่วยนับ และต้นทุนต่อหน่วยเพิ่มขึ้น</t>
  </si>
  <si>
    <t>ในปี 2558 รายการค่าจ้างที่ปรึกษา จำนวน 1,625,323.28 บาท ส่งผลให้ต้นทุนผันแปรเพิ่มขึ้น</t>
  </si>
  <si>
    <t xml:space="preserve">สนง.เศรษฐกิจการลงทุน ณ กรุงปารีส (0103200033) ต้นทุนผันแปรเพิ่มขึ้นร้อยละ 42.84 สืบเนื่องจากมีค่าใช้จ่ายในการย้ายถิ่นที่อยู่ของข้าราชการ </t>
  </si>
  <si>
    <t xml:space="preserve">ตามคำสั่ง สำนักงานคณะกรรมการส่งเสริมการลงทุนที่ 31/2558 เรื่องย้ายข้าราชการ ลงวันที่ 23 กุมภาพันธ์ 2558 จำนวน 1,187,925.43 บาท และมีเบิกจ่ายเงินกันเหลื่อมปี 2557 </t>
  </si>
  <si>
    <t xml:space="preserve">สนง.เศรษฐกิจการลงทุน ณ นครมุมไบ (0103200043) ต้นทุนผันแปรเพิ่มขึ้นร้อยละ 100 สืบเนื่องจากปี 2558 มีเบิกจ่ายเงินกันเหลื่อมปี 2557 </t>
  </si>
  <si>
    <t>รายการค่าจ้างที่ปรึกษา จำนวน 1,863,019.68 บาท</t>
  </si>
  <si>
    <t>จำนวน 13,495,996.68 บาท ในการดำเนินการจัดงานมหกรรมสินค้าอุตสาหกรรม ภายใต้โครงการจัดงาน SMEs  Expo ภูมิภาค เมื่อเทียบกับปี 2558 ทำให้ต้นทุนผันแปร</t>
  </si>
  <si>
    <t>สนง.เศรษฐกิจการลงทุน  ณ นครนิวยอร์ค</t>
  </si>
  <si>
    <t>จำนวนครั้งในการจัดฝึกอบรม E-expert ช่างฝีมือ น้อยกว่าปีงบประมาณ 2557 จึงทำให้ปริมาณหน่วยนับลดลง ส่งผลให้ต้นทุนต่อหน่วยเพิ่มขึ้น</t>
  </si>
  <si>
    <t xml:space="preserve">ฝึกอบรมเพื่อกระตุ้นและเป็นแนวทางในการพัฒนา เพิ่มขีดความสามารถในด้านการตลาด การจัดการการเงิน และเทคโนโลยี แก่ผู้ประกอบการไทย โดยเฉพาะผู้ผลิตขนาดกลางและขนาดเล็ก </t>
  </si>
  <si>
    <t>งานด้านการประชุม ต้นทุนต่อหน่วยลดลง ร้อยละ 21.41 ปริมาณหน่วยนับเพิ่มขึ้น ร้อยละ 43.94 สืบเนื่องจากปี 2557 เกิดเหตุการณ์ความไม่สงบทางการเมือง ทำให้งาน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</si>
  <si>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</si>
  <si>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</si>
  <si>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</si>
  <si>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</si>
  <si>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</si>
  <si>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</si>
  <si>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</si>
  <si>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</si>
  <si>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</si>
  <si>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ขาดทุนจากอัตราแลกเปลี่ยนเงินตราต่างประเทศ  (5202)</t>
  </si>
  <si>
    <t xml:space="preserve">        ค่าใช้จ่าย            บุคลากร              (อ5101)</t>
  </si>
  <si>
    <t xml:space="preserve">   ค่าใช้จ่ายด้านการ         ฝึกอบรม       (อ5102)</t>
  </si>
  <si>
    <t>งานจัดสัมมนา</t>
  </si>
  <si>
    <t>งานจัดกิจกรรม Door-knocking</t>
  </si>
  <si>
    <t>งานจัดกิจกรรม Networking</t>
  </si>
  <si>
    <t>กิจกรรมการชักจูงการลงทุนในประเทศ</t>
  </si>
  <si>
    <t>จำนวนการจัดกิจกรรมชักจูงการลงทุนของ สนง.ต่างประเทศ</t>
  </si>
  <si>
    <t>งานเผยแพร่นโยบายและให้บริการด้านการลงทุน</t>
  </si>
  <si>
    <t>งานประชาสัมพันธ์ในต่างประเทศ</t>
  </si>
  <si>
    <t>งานประชาสัมพันธ์ในประเทศ</t>
  </si>
  <si>
    <t>งานเอกสารเผยแพร่</t>
  </si>
  <si>
    <t>งานเผยแพร่ผ่าน Website</t>
  </si>
  <si>
    <t>งานวารสารส่งเสริมการลงทุน</t>
  </si>
  <si>
    <t>งานบริการลงทุน ศูนย์วีซ่าและหน่วยช่างฝีมือ</t>
  </si>
  <si>
    <t>งานประชุมเจรจาจัดทำข้อตกลงด้านการลงทุน</t>
  </si>
  <si>
    <t>งานส่งเสริมการลงทุนไทยในต่างประเทศ</t>
  </si>
  <si>
    <t>งานจ้างศึกษาเกี่ยวกับการส่งเสริมการลงทุน</t>
  </si>
  <si>
    <t>กิจกรรมตลาดกลางซื้อขายชิ้นส่วน</t>
  </si>
  <si>
    <t>กิจกรรมสัมมนาเพื่อกระตุ้นการพัฒนาขีดความสามารถผู้ประกอบการไทย</t>
  </si>
  <si>
    <t>งานพัฒนาศักยภาพและแก้ไขปัญหาอุตสาหกรรม</t>
  </si>
  <si>
    <t>งานขอรับการส่งเสริมการลงทุน</t>
  </si>
  <si>
    <t>งานด้านการเงินและบัญชี</t>
  </si>
  <si>
    <t>งานด้านการพัสดุ</t>
  </si>
  <si>
    <t>งานด้านบริหารบุคลากร</t>
  </si>
  <si>
    <t>งานด้านพัฒนาทรัพยากรบุคคล</t>
  </si>
  <si>
    <t>งานด้านตรวจสอบภายใน</t>
  </si>
  <si>
    <t>งานด้านเทคโนโลยีสารสนเทศภายในหน่วยงาน</t>
  </si>
  <si>
    <t>งานด้านเครือข่ายอินเตอร์เน็ตและเว็ปไซต์</t>
  </si>
  <si>
    <t>งานด้านแผนงาน</t>
  </si>
  <si>
    <t>งานด้านพัฒนาระบบบริหารราชการ</t>
  </si>
  <si>
    <t>งานด้านสารบรรณ</t>
  </si>
  <si>
    <t>งานด้านยานพาหนะ</t>
  </si>
  <si>
    <t>งานสนับสนุนการดำเนินงานของสำนักงานฯ</t>
  </si>
  <si>
    <t>งานด้านบัตรส่งเสริม</t>
  </si>
  <si>
    <t>งานด้านการประชุม</t>
  </si>
  <si>
    <t>งานด้านกฎหมาย</t>
  </si>
  <si>
    <t xml:space="preserve">กิจกรรมผู้ซื้อพบผู้ขาย </t>
  </si>
  <si>
    <t>งานปรับปรุงและพัมนาสนับสนุนอาเซียน (ASID)</t>
  </si>
  <si>
    <t>งานจัดทำแผ่นพับประชาสัมพันธ์</t>
  </si>
  <si>
    <t>กิจกรรมจัดนำผู้ผลิตชิ้นส่วนอุตสาหกรรมไทยร่วมงานแสดงชิ้นส่วนอุตสาหกรรมระดับนานาชาติ</t>
  </si>
  <si>
    <t>การจัด Thailand Overseas Invesment Forum</t>
  </si>
  <si>
    <t>งานด้านการบำรุงรักษาระบบคุณภาพมาตรฐาน ISO 9001</t>
  </si>
  <si>
    <t>งานศูนย์รับเรื่องราวร้องทุกข์ของสำนักงาน</t>
  </si>
  <si>
    <t>7. การจัดนำผู้ผลิตชิ้นส่วนอุตสาหกรรมไทยร่วมงานแสดงชิ้นส่วนอุตสาหกรรมระดับนานาชาติ</t>
  </si>
  <si>
    <t>งานส่งเสริมและชักจูงการลงทุนโดย สนง.ต่างประเทศ</t>
  </si>
  <si>
    <t>งานประชาสัมพันธ์เผยแพร่ผ่านสื่อ</t>
  </si>
  <si>
    <t>งานเจรจาและทำข้อตกลงด้านการลงทุน</t>
  </si>
  <si>
    <t>งานส่งเสริมการลงทุนไทยในต่างประเทศ (CLMV) /(ตลาดใหม่)</t>
  </si>
  <si>
    <t>งานจัดกิจกรรมผู้ซื้อพบผู้ขาย  (VMC)</t>
  </si>
  <si>
    <t>งานจัดกิจกรรมตลาดกลางซื้อขายชิ้นส่วน</t>
  </si>
  <si>
    <t>ขาดทุนจากอัตราแลกเปลี่ยนเงินตราต่างประเทศ</t>
  </si>
  <si>
    <t xml:space="preserve">    ค่าเสื่อมราคา        และค่าตัด            จำหน่าย          (อ5105)</t>
  </si>
  <si>
    <t xml:space="preserve">      ค่าตอบแทน           ใช้สอย        วัสดุและสาธารณูปโภค  (5104)</t>
  </si>
  <si>
    <t>ค่าจำหน่ายจากการขายสินทรัพย์      (อ5203)</t>
  </si>
  <si>
    <t>8. การจัดสัมมนาการส่งเสริมการลงทุนของไทยในภูมิภาคอาเซียน ( Thailand Overseas Investment Forum)</t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</si>
  <si>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งานเผยแพร่นโยบายและให้บริการด้านการลงทุน, งานออกแบบและผลิตงานสร้างสรรค์และประชาสัมพันธ์ และงานเอกสารเผยแพร่ มีต้นทุนรวมลดลงร้อยละ 38.90, 75.87 และ82.58 ปริมาณหน่วยนับลดลงร้อยละ 52.99, ร้อยละ 70 และร้อยละ 72.31 ตามลำดับ อันเนื่องมาจากปี 2558 มีการเบิกจ่ายเงินกันเหลื่อมปี 2557 จำนวน 14,693,570.06 บาท เป็นค่าจ้างที่ปรึกษาประชาสัมพันธ์ในประเทศและในต่างประเทศ, ค่าจ้างที่ปรึกษา Liaison Office ภายใต้ความตกลงหุ้นส่วนเศรษฐกิจ และค่าโฆษณาและประชาสัมพันธ์ในสื่อสถานีโทรทัศน์ต่างประเทศ CNBC และโฆษณาในนิตยสาร FORTUNE เมื่อเทียบกับปี 2559 จึงทำให้ต้นทุนรวมและปริมาณหน่วยนับลดลง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</si>
  <si>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งานบริการลงทุน ศูนย์วีซ่าและหน่วยงานช่างฝีมือ ต้นทุนต่อหน่วยลดลงร้อยละ 49.68 ปริมาณหน่วยนับเพิ่มขึ้นมากกว่าร้อยละ 100 สืบเนื่องจากปีงบประมาณ 2559 จำนวนครั้งในการจัดฝึกอบรม E-expert ช่างฝีมือ มีมากกว่าปีงบประมาณ 2558 จึงทำให้ปริมาณหน่วยนับเพิ่มขึ้น 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</si>
  <si>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งานส่งเสริมการลงทุนไทยในต่างประเทศ (CLMV)/(ตลาดใหม่) จำนวนหน่วยนับเพิ่มขึ้นมากกว่าร้อยละ 100 ต้นทุนต่อหน่วยลดลร้อยละ 71.68 และต้นทุนรวมลดลงร้อยละ 30.49 อันเนื่องมาจากในปี 2559 กองส่งเสริมการลงทุนไทยในต่างประเทศที่รับผิดชอบกิจกรรมย่อยนี้โดยตรง มีการจัดกิจกรรมสัมมนาและนำนักลงทุนไทยที่มีศักยภาพ (Potential Investor) ไปหาลู่ทางและโอกาสการลงทุนในประเทศเป้าหมายเพิ่มมากขึ้นเมื่อเทียบกับปี 2558 เพื่อเป็นการสนับสนุนให้ภาคเอกชนที่มีศักยภาพและมีความสามารถในการแข่งขัน ได้ขยายสาขาหรือย้ายฐานการผลิตไปในประเทศที่มีต้นทุนการผลิตต่ำกว่า หรือแหล่งที่มีวัตถุดิบที่จำเป็นต่อการผลิต เพื่อให้สามารถแข่งขันกับประเทศเพื่อนบ้านในการขยายตลาดและสร้างโอกาสทางธุรกิจใหม่ ๆ ให้กับภาคเอกชน ดังนั้นจึงทำให้ปริมาณหน่วยนับในปี 2559 เพิ่มมากขึ้น 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</si>
  <si>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การจัดสัมมนาการส่งเสิรมการลงทุนของไทยในภมิภาคอาเซียน ( Thailand Overseas Investment Forum)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2559 จึงทำให้ต้นทุนรวม 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</si>
  <si>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งานปรับปรุงและพัฒนาสนับสนุนอาเซียน (ASID), งานจัดทำแผ่นพับประชาสัมพันธ์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2559 จึงทำให้ต้นทุนรวม 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</si>
  <si>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งานกิจกรรมผู้ซื้อพบผู้ขาย, งานจัดกิจกรรมตลาดกลางซื้อขายชิ้นส่วน และงานจัดกิจกรรมพัฒนาขีดความสามารถผู้ประกอบการไทย มีต้นทุนรวมเพิ่มขึ้นมากกว่าร้อยละ 100 และต้นทุนต่อหน่วยเพิ่มขึ้นมากว่าร้อยละ 100 อันเนื่องมาจากมีการเบิกจ่ายเงินกันเหลื่อมปี 2558 รายการค่าจ้างศึกษาห่วงโซ่อุปทาน (Supply Chain) งวดที่ 3-5 จำนวน 2,331,000 บาท ในปี 2559 และเนื่องจากกลุ่มส่งเสริมการเชื่อมโยงอุตสาหกรรม พัฒนาและถ่ายทอดเทคโนโลยี ที่ดูแลกิจกรรมย่อยดังกล่าวโดยตรง ได้มีการจัดสรรกิจกรรมย่อยในปี 2559 ใหม่ โดยนำกิจกรรมจัดนำผู้ผลิตชิ้นส่วนอุตสาหกรรมไทยร่วมงานแสดงชิ้นส่วนอุตสาหกรรมระดับนานาชาติแยกออกมาตั้งเป็นกิจกรรมหลัก ทำให้สัดส่วนในการปันส่วนต้นทุนค่าใช้จ่ายของกลุ่มส่งเสริมการเชื่อมโยงอุตสาหกรรม พัฒนาและถ่ายทอดเทคโนโลยีลดลงเมื่อเทียบกับปี 2558 ส่งผลให้ต้นทุนต่อหน่วยและต้นทุนรวมเพิ่มมากขึ้น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</si>
  <si>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งานขอรับการส่งเสริมการลงทุน มีต้นทุนต่อหน่วยเพิ่มขึ้นมากกว่าร้อยละ 100 และจำนวนโครงการลดลงร้อยละ 54.20 อันเนื่องมาจากในปี 2558 โครงการที่ขอรับการส่งเสริมการลงทุนมีจำนวนเพิ่มมากขึ้นเป็นพิเศษในช่วงเดือนธันวาคม 2557 เพราะนักลงทุนจำนวนมากประสงค์จะยื่นขอรับการส่งเสริมตามนโยบายเดิมที่จะสิ้นสุดลงในวันที่ 31 ธันวาคม 2557 (ประกาศสำนักงานคณะกรรมการส่งเสริมการลงทุน ที่ 2/2557 เรื่อง นโยบายและหลักเกณฑ์การส่งเสริมการลงทุน ลงวันที่ 3 ธันวาคม 2557 มีผลบังคับใช้วันที่ 1 มกราคม 2558) ดังนั้นเมื่อนำมาเปรียบเทียบกับปี 2559 จึงทำให้จำนวนโครงการลดลง ส่งผลให้ต้นทุนต่อหน่วยเพิ่มขึ้น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</si>
  <si>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งานพัฒนาศักภาพและแก้ไขปัญหาอุตสาหกรรม มีต้นทุนรวมลดลงร้อยละ 47.67 และต้นทุนต่อหน่วยลดลงร้อยละ 53.54 อันเนื่องมาจากปี 2559 สำนักพัฒนาปัจจัยสนับสนุนการลงทุนที่ดูแลกิจกรรมย่อยดังกล่าวโดยตรง ได้เพิ่มกิจกรรมย่อยใหม่คือ กิจกรรมการชักจูงการลงทุนในประเทศ รวมเป็น 2 กิจกรรมย่อย จากเดิมเพียง 1 กิจกรรมย่อย จึงทำให้สัดส่วนที่ใช้ในการปันส่วนต้นทุนค่าใช้ของสำนักพัฒนาปัจจัยสนับสนุนการลงทุนมีจำนวนเพิ่มมากขึ้นเมื่อเทียบกับปี 2558 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</si>
  <si>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งานพัฒนาระบบบริหารราชการ มีต้นทุนรวมและต้นทุนต่อหน่วยลดลงร้อยละ 56.78 อันเนื่องมาจากกลุ่มพัฒนาระบบบริหารที่รับผิดชอบกิจกรรมย่อยดังกล่าวโดยตรง ได้เพิ่มกิจกรรมย่อยใหม่คือ งานด้านการบำรุงรักษาระบบคุณภาพมาตรฐาน ISO 9001 และงานศูนย์รับเรื่องราวร้องทุกข์ของสำนักงาน รวมเป็น 3 กิจกรรมย่อย จากเดิมมีเพียง 1 กิจกรรมย่อย จึงทำให้สัดส่วนที่ใช้ในการปันส่วนต้นทุนค่าใช้ของกลุ่มพัฒนาระบบบริหารมีจำนวนเพิ่มมากขึ้นเมื่อเทียบกับปี 2558 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</si>
  <si>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งานด้านแผนงาน มีต้นทุนรวมและต้นทุนต่อหน่วยลดลงร้อยละ 44.38 อันเนื่องมาจากสำนักยุทธศาสตร์และนโยบายการลงทุนที่รับผิดชอบกิจกรรมย่อยดังกล่าวโดยตรง ได้เพิ่มกิจกรรมย่อยใหม่คือ กิจกรรมการชักจูงการลงทุนในประเทศ และงานจ้างศึกษาเกี่ยวกับการส่งเสริมการลงทุน รวมเป็น 3 กิจกรรมย่อย จากเดิมมีเพียง 1 กิจกรรมย่อย จึงทำให้สัดส่วนที่ใช้ในการปันส่วนต้นทุนค่าใช้ของสำนักยุทธศาสตร์และนโยบายการลงทุนมีจำนวนเพิ่มมากขึ้นเมื่อเทียบกับปี 2558 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</si>
  <si>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งานด้านการบำรุงรักษาระบบคุณภาพมาตรฐาน ISO9001 และงานศูนย์รับเรื่องราวร้องทุกข์ของสำนักงาน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2559 จึงทำให้ต้นทุนรวม 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</si>
  <si>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งานด้านกฎหมาย ต้นทุนต่อหน่วยลดลงร้อยละ 45.46 แต่ปริมาณหน่วยนับเพิ่มขึ้นมากกว่าร้อยละ 100 เนื่องจากปีงบประมาณ 2559 กลุ่มกฎหมายได้ตอบข้อหารือภายในและภายนอกด้านสิทธิประโยชน์จากปี 2558 จำนวน 800 เรื่อง เป็นจำนวน 1,182 เรื่องในปี 2559 ทำให้ปริมาณหน่วยนับเพิ่มขึ้นมากกว่าร้อยละ 100 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</si>
  <si>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งานด้านเทคโนโลยีสารสนเทศภายในหน่วยงาน มีต้นทุนรวมและต้นทุนต่อหน่วยเพิ่มขึ้นร้อยละ 65.50 อันเนื่องมาจากมีการเบิกจ่ายเงินกันเหลื่อมปี 2558 จำนวน 7,287,782.06 บาท เป็นค่าจ้างเหมาบำรุงรักษาระบบคอมฯ, ระบบ Firewall -BOI, ระบบเครือข่าย Web Security, ระบบงานช่างฝีมือ E-expert System, ระบบฐานข้อมูลกลาง BOI Central Database, ระบบบริหารจัดการระบบคุณภาพ (ISO Management), ระบบบริการจัดการผู้ใช้แบบรวามศูนย์, ระบบงานตรวจสอบ และระบบสารบรรณอิเล็กทรอนิกส์ จึงทำให้ต้นทุนรวมและต้นทุนต่อหน่วยเพิ่มขึ้น </t>
    </r>
  </si>
  <si>
    <t>งานจ้างที่ปรึกษาเกี่ยวกับการส่งเสริมการลงทุน</t>
  </si>
  <si>
    <t>งานจัดกิจกรรม High-Level Image Enhancement Road Show</t>
  </si>
  <si>
    <t>งานเจาะหากลุ่มเป้าหมายและจัดกิจกรรมชักจูงการลงทุนเชิงลึก</t>
  </si>
  <si>
    <t xml:space="preserve">งานจ้างที่ปรึกษาชักจูงการลงทุนจากต่างประเทศ </t>
  </si>
  <si>
    <t>งานจ้างที่ปรึกษาชักจูงการลงทุนสำหรับ Country Desk</t>
  </si>
  <si>
    <t>งานพัฒนาระบบนำร่องการจัดหาและพัฒนาระบบ Single Window</t>
  </si>
  <si>
    <t>กิจกรรมการสร้างเครือข่ายและเพิ่มศักยภาพการลงทุน</t>
  </si>
  <si>
    <t>งานเสริมสร้างภาพลักษณ์การลงทุน</t>
  </si>
  <si>
    <t>กิจกรรมด้านประชาสัมพันธ์</t>
  </si>
  <si>
    <t>กิจกรรมด้านงบประมาณ</t>
  </si>
  <si>
    <t>กิจกรรมด้านอาคารและสถานที่</t>
  </si>
  <si>
    <t>กิจกรรมด้านวินัยและความรับผิดชอบ</t>
  </si>
  <si>
    <t>อัตรา</t>
  </si>
  <si>
    <t>จำนวนเงินงบประมาณที่ได้รับจัดสรร</t>
  </si>
  <si>
    <t>เรื่อง</t>
  </si>
  <si>
    <t>กิจกรรมกรรมย่อยของหน่วยงานสนับสนุน</t>
  </si>
  <si>
    <t>งานจ้างศึกษาเกี่ยวกับการส่งเสริมการลงทุน (สยท.)</t>
  </si>
  <si>
    <t>งานจ้างที่ปรึกษาชักจูงการลงทุนจากต่างประเทศ (ภาพรวม)</t>
  </si>
  <si>
    <t>กิจกรรมสร้างเครือข่ายและเพิ่มศักยภาพการลงทุน</t>
  </si>
  <si>
    <t>กิจกรรมด้านวินัยและความรับผิดทางละเมิด</t>
  </si>
  <si>
    <t>งานด้านอาคารและสถานที่</t>
  </si>
  <si>
    <t>งานด้านงบประมาณ</t>
  </si>
  <si>
    <t>งานจ้างที่ปรึกษาเกี่ยวกับการส่งเสริมการลงทุน (สยท.)</t>
  </si>
  <si>
    <t>งานเผยแพร่ประชาสัมพันธ์การพัฒนาการเชื่อมโยงการลงทุน</t>
  </si>
  <si>
    <t>กิจกรรมการพัฒนาศักยภาพและแก้ไขปัญหาอุตสาหกรรม</t>
  </si>
  <si>
    <t>การดำเนินภารกิจในต่างประเทศ</t>
  </si>
  <si>
    <t>การเจรจาและทำข้อตกลงด้านการลงทุนในเวทีระหว่างประเทศ</t>
  </si>
  <si>
    <t>การพัฒนาปัจจัยสนับสนุนการลงทุน</t>
  </si>
  <si>
    <t>การส่งเสริมการลงทุนไทยในต่างประเทศ</t>
  </si>
  <si>
    <t>การพัฒนาเทคโนโลยีสารสนเทศและการสื่อสาร</t>
  </si>
  <si>
    <t>การส่งเสริมการลงทุนในอุตสาหกรรมเป้าหมายและอุตสาหกรรมตามนโยบายรัฐบาล</t>
  </si>
  <si>
    <t>การดำเนินภารกิจในประเทศ</t>
  </si>
  <si>
    <t>การดำเนินงานบุคลากรเพื่อส่งเสริมการลงทุน</t>
  </si>
  <si>
    <t>การชักจูงการลงทุนในอุตสาหกรรมเป้าหมายและอุตสาหกรรมสำคัญตามนโยบายรัฐบาล</t>
  </si>
  <si>
    <t>รายการค่าใช้จ่ายบุคลากรภาครัฐ พัฒนาประสิทธิภาพและมูลค่าเพิ่มของภาคการผลิต บริการ การค้า และการลงทุน</t>
  </si>
  <si>
    <t>การลงทุนที่ได้รับการส่งเสริม</t>
  </si>
  <si>
    <t>โครงการส่งเสริมการลงทุนเพื่อเพิ่มความสามารถในการแข่งขันทั้งการลงทุนในประเทศและการลงทุนของไทยในต่างประเทศ</t>
  </si>
  <si>
    <t>ต้นทุนผลผลิตประจำปีงบประมาณ พ.ศ. 2560 (ต.ค. 59 - ก.ย. 60)</t>
  </si>
  <si>
    <t>การจัดสัมมนาการส่งเสริมการลงทุนของไทยในภูมิภาคอาเซียน         (Thailand Overseas Investment Forum)</t>
  </si>
  <si>
    <t>9. การพัฒนาระบบนำร่องการจัดหาและพัฒนาระบบ Single  Window ศูนย์บริการวีซ่าและใบอนุญาตทำงาน</t>
  </si>
  <si>
    <t>1. การดำเนินงานบุคลากรเพื่อส่งเสริมการลงทุน</t>
  </si>
  <si>
    <t>2. การดำเนินภารกิจในประเทศ</t>
  </si>
  <si>
    <t>6. การส่งเสริมการลงทุนไทยในต่างประเทศ</t>
  </si>
  <si>
    <t>7. การพัฒนาเทคโนโลยีสารสนเทศและการสื่อสาร</t>
  </si>
  <si>
    <t>8. การจัดนำผู้ผลิตชิ้นส่วนอุตสาหกรรมไทยร่วมงานแสดงชิ้นส่วนอุตสาหกรรมระดับนานาชาติ</t>
  </si>
  <si>
    <t>10. การชักจูงการลงทุนในอุตสาหกรรมเป้าหมายและอุตสาหกรรมสำคัญตามนโยบายรัฐบาล</t>
  </si>
  <si>
    <t>11. การพัฒนาระบบนำร่องการจัดหาและพัฒนาระบบ Single  Window ศูนย์บริการวีซ่าและใบอนุญาตทำงาน</t>
  </si>
  <si>
    <t>1. รายการค่าใช้จ่ายบุคลากรภาครัฐ พัฒนาประสิทธิภาพและมูลค่าเพิ่มของภาคการผลิต บริการ การค้า และการลงทุน</t>
  </si>
  <si>
    <t>2. การลงทุนในประเทศที่ได้รับการส่งเสริม</t>
  </si>
  <si>
    <t>3. โครงการส่งเสริมการลงทุนเพื่อเพิ่มความสามารถในการแข่งขันทั้งการลงทุนในประเทศและการลงทุนของไทยในต่างประเทศ</t>
  </si>
  <si>
    <t>4. โครงการจัดนำผู้ผลิตชิ้นส่วนอุตสาหกรรมไทยร่วมงานแสดงชิ้นส่วนอุตสาหกรรมระดับนานาชาติ</t>
  </si>
  <si>
    <t>5. โครงการพัฒนาระบบนำร่องการจัดหาและพัฒนาระบบ Single  Window ศูนย์บริการวีซ่าและใบอนุญาตทำงาน</t>
  </si>
  <si>
    <t>ต้นทุนทางตรง ปีงบประมาณ พ.ศ. 2560</t>
  </si>
  <si>
    <t>ปีงบประมาณ พ.ศ. 2560</t>
  </si>
  <si>
    <r>
      <rPr>
        <u val="single"/>
        <sz val="16"/>
        <color indexed="10"/>
        <rFont val="TH SarabunPSK"/>
        <family val="2"/>
      </rPr>
      <t>กิจกรรมย่อย</t>
    </r>
    <r>
      <rPr>
        <sz val="16"/>
        <color indexed="10"/>
        <rFont val="TH SarabunPSK"/>
        <family val="2"/>
      </rPr>
      <t xml:space="preserve"> กิจกรรมงานจัดกิจกรรม High-Level Image Enhancement Road Show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2560 จึงทำให้ต้นทุนรวม หน่วยนับ และต้นทุนต่อหน่วยเพิ่มขึ้น</t>
    </r>
  </si>
  <si>
    <t>งานให้คำปรึกษาแนะนำให้บริการด้านการลงทุน</t>
  </si>
  <si>
    <t>6.  ต้นทุนในการผลิตผลผลิตอื่น</t>
  </si>
  <si>
    <t xml:space="preserve">กองบริหารการลงทุน 1 </t>
  </si>
  <si>
    <t>กองบริหารการลงทุน 2</t>
  </si>
  <si>
    <t>กองบริหารการลงทุน 3</t>
  </si>
  <si>
    <t>กองบริหารการลงทุน 4</t>
  </si>
  <si>
    <t>กองบริหารการลงทุน 5</t>
  </si>
  <si>
    <t>กองส่งเสริมการลงทุนจากต่างประเทศ</t>
  </si>
  <si>
    <t>กองประสานและพัฒนาปัจจัยการลงทุน</t>
  </si>
  <si>
    <t>กองพัฒนาและเชื่อมโยงการลงทุน</t>
  </si>
  <si>
    <t xml:space="preserve">      ค่าตอบแทน           ใช้สอย               วัสดุและ         สาธารณูปโภค     (อ5104)</t>
  </si>
  <si>
    <t>กิจกรรมชักจูงการลงทุนจากต่างประเทศสำหรับพื้นที่ระเบียงเศรษฐกิจภาคตะวันออก (EEC)</t>
  </si>
  <si>
    <t>ค่าใช้จ่ายเพื่อสนับสนุนงานศูนย์ประสานการบริการด้านการลงทุน (OSOS)</t>
  </si>
  <si>
    <t>งานประเมินผลการซื้อขายชิ้นส่วนอุตสาหกรรม</t>
  </si>
  <si>
    <t>การพัฒนาการเชื่อมโยงอุตสาหกรรม</t>
  </si>
  <si>
    <t>การชักจูงการลงทุนจากต่างประเทศสำหรับพื้นที่ระเบียงเศรษฐกิจภาคตะวันออก (EEC)</t>
  </si>
  <si>
    <t>8. การพัฒนาการเชื่อมโยงอุตสาหกรรม</t>
  </si>
  <si>
    <t>10. การชักจูงการลงทุนจากต่างประเทศสำหรับพื้นที่ระเบียงเศรษฐกิจภาคตะวันออก (EEC)</t>
  </si>
  <si>
    <t>9. การพัฒนาการเชื่อมโยงอุตสาหกรรม</t>
  </si>
  <si>
    <t>12. การชักจูงการลงทุนจากต่างประเทศสำหรับพื้นที่ระเบียงเศรษฐกิจภาคตะวันออก (EEC)</t>
  </si>
  <si>
    <t>ตารางเปรียบเทียบผลการคำนวณต้นทุนผลผลิตระหว่างปีงบประมาณ พ.ศ. 2560 และปีงบประมาณ พ.ศ. 2561</t>
  </si>
  <si>
    <t>ต้นทุนผลผลิตประจำปีงบประมาณ พ.ศ. 2561 (ต.ค. 60 - ก.ย. 61)</t>
  </si>
  <si>
    <t>ตารางเปรียบเทียบผลการคำนวณต้นทุนผลผลิตระหว่างปีงบประมาณ พ.ศ. 2560 และ ปีงบประมาณ พ.ศ. 2561</t>
  </si>
  <si>
    <t>6. การชักจูงการลงทุนจากต่างประเทศสำหรับพื้นที่ระเบียงเศรษฐกิจภาคตะวันออก (EEC)</t>
  </si>
  <si>
    <t>รายงานเปรียบเทียบผลการคำนวณต้นทุนผลผลิตระหว่างปีงบประมาณ พ.ศ. 2560 และปีงบประมาณ พ.ศ. 2561</t>
  </si>
  <si>
    <t>ต้นทุนทางตรง ปีงบประมาณ พ.ศ. 2561</t>
  </si>
  <si>
    <t>0103200044</t>
  </si>
  <si>
    <t>รายงานเปรียบเทียบผลการคำนวณต้นทุนผลผลิตระหว่างปีงบประมาณ พ.ศ. 2560 และปีงบประมาณ พ.ศ.2561</t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</si>
  <si>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กิจกรรมชักจูงการลงทุนจากต่างประเทศสำหรับพื้นที่ระเบียงเศรษฐกิจภาคตะวันออก (EEC)  มีปริมาณหน่วยนับ ต้นทุนต่อหน่วย และต้นทุนรวมเพิ่มขึ้นมากกว่าร้อยละ 100  เนื่องมาจากกิจกรรมย่อยดังกล่าวเป็นกิจกรรมย่อยใหม่ของปี 2561 จึงทำให้ต้นทุนรวม หน่วยนับ และต้นทุนต่อหน่วยเพิ่มขึ้น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</si>
  <si>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งานประเมินผลการซื้อขายชิ้นส่วนอุตสาหกรรม มีต้นทุนรวม ปริมาณหน่วยนับ และต้นทุนต่อหน่วยเพิ่มขึ้นร้อยละ 100 เนื่องมาจากกิจกรรมดังกล่าวเป็นกิจกรรมย่อยใหม่ของปี 2561 จึงทำให้ต้นทุนรวม ปริมาณหน่วยนับ และต้นทุนต่อหน่วยเพิ่มขึ้น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</si>
  <si>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งานศูนย์รับเรื่องราวร้องทุกข์ของสำนักงาน มีปริมาณหน่วยนับลดลงร้อยละ 28 และต้นทุนต่อหน่วยเพิ่มขึ้นร้ออยละ 63.65 เนื่องมาจากในปี 2561 สำนักงานได้รับข้อร้องเรียนเกี่ยวกับระบบคุณภาพ และเรื่องอื่น ๆ ลดลง จึงทำให้ปริมาณหน่วยนับลดลง ส่งผลทำให้ต้นทุนต่อหน่วยเพิ่มขึ้น</t>
    </r>
  </si>
  <si>
    <r>
      <t>ผลผลิตย่อย</t>
    </r>
    <r>
      <rPr>
        <sz val="16"/>
        <rFont val="TH SarabunPSK"/>
        <family val="2"/>
      </rPr>
      <t xml:space="preserve"> การชักจูงการลงทุนจากต่างประเทศสำหรับพื้นที่ระเบียงเศรษฐกิจภาคตะวันออก (EEC) มีต้นทุนรวม ปริมาณหน่วยนับ และต้นทุนต่อหน่วยเพิ่มขึ้นร้อยละ 100 เนื่องจากผลผลิตย่อยดังกล่าวเป็นผลผลิตย่อยใหม่ของปี 2561 ตามงบประมาณรายจ่ายประจำปีงบประมาณ พ.ศ. 2561 จึงส่งผลทำให้ต้นทุนรวม ปริมาณหน่วยนับ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</si>
  <si>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การชักจูงการลงทุนจากต่างประเทศสำหรับพื้นที่ระเบียงเศรษฐกิจภาคตะวันออก (EEC) มีต้นทุนรวม ปริมาณหน่วยนับ และต้นทุนต่อหน่วยเพิ่มขึ้นร้อยละ 100 เนื่องจาก เนื่องมาจากกิจกรรมหลักดังกล่าวเป็นกิจกรรมหลักใหม่ของปี 2561 ตามงบประมาณรายจ่ายประจำปีงบประมาณ พ.ศ. 2561 จึงส่งผลทำให้ต้นทุนรวม ปริมาณหน่วยนับ และต้นทุนต่อหน่วยเพิ่มขึ้น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</si>
  <si>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ศูนย์บริการลงทุน (0103200013) ต้นทุนผันแปรเพิ่มขึ้นร้อยละ 37.12 เนื่องมาจากในปี 2561 ศูนย์บริการลงทุนได้รับจัดสรรงบกลางปี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ภายใต้แผนงานพัฒนาระเบียบเศรษฐกิจภาคตะวันออก (พ.ศ.2560-2564) และงบกลางปี 2559 เงินสำรองจ่ายเพื่อกรณีฉุกเฉินหรือจำเป็น เพื่อเป็นค่าใช้จ่ายดำเนินการโครงการดำเนินงานโฆษณา ประชาสัมพันธ์และจัดกิจกรรมเพื่อพลิกโฉมประเทศไทยสู่ "Thailand 4.0" ทำศูนย์บริการลงทุนดำเนินการประชาสัมพันธ์และเผยแพร่ผ่านสื่อต่าง ๆ ทั้งสื่อออนไลน์ ดิจิทัล และโซเซียลมีเดียเพิ่มมากขึ้น ดังนั้นจึงทำให้ต้นทุนผันแปรเพิ่มขึ้น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</si>
  <si>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กองส่งเสริมการลงทุนจากต่างประเทศ (0103200016) ต้นทุนผันแปรลดลงร้อยละ 37.87 เนื่องมาจากในปี 2561 สำนักงบประมาณได้ปรับลดงบประมาณกิจกรรมการชักจูงการลงทุนในอุตสาหกรรมเป้าหมายและอุตสาหกรรมสำคัญตามนโยบายรัฐบาล รายการค่าใช้จ่ายชักจูงการลงทุนจากต่างประเทศจากปี 2560 ลงประมาณ 26,000,000 บาท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</si>
  <si>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2 (0103200020) ต้นทุนผันแปรเพิ่มขึ้นร้อยละ 78.12 เนื่องจากในปี 2561 มีค่าใช้จ่ายในการจัดตรายางและทำนามบัตรเพิ่มขึ้นจำนวน 20,668.48 บาท ซึ่งเมื่อเทียบกับปี 2560 ส่งผลทำให้ต้นทุนผันแปรเพิ่มขึ้น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</si>
  <si>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4 (0103200020) ต้นทุนผันแปรเพิ่มขึ้นร้อยละ 100 เนื่องจากในปี 2561 มีค่าใช้จ่ายในการจัดตรายางและทำนามบัตรเพิ่มขึ้นจำนวน 15,782.50 บาท ซึ่งเมื่อเทียบกับปี 2560 ส่งผลทำให้ต้นทุนผันแปรเพิ่มขึ้น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</si>
  <si>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5 (0103200044) ต้นทุนคงที่ ต้นทุนผันแปร และต้นทุนรวมเพิ่มขึ้นมากกว่าร้อยละ 100 เนื่องจากกองบริหารการลงทุน 5 เป็นศูนย์ต้นทุนใหม่ของปี 2561 จึงส่งผลทำให้ต้นทุนคงที่ ต้นทุนผันแปร และต้นทุนรวมเพิ่มขึ้น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</si>
  <si>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1 (0103200019) ต้นทุนผันแปรเพิ่มมากกว่าขึ้นร้อยละ 100 เนื่องจากในปี 2561 มีค่าใช้จ่ายในการจัดตรายางและทำนามบัตรเพิ่มขึ้นจำนวน 13,333.41 บาท ซึ่งเมื่อเทียบกับปี 2560 ส่งผลทำให้ต้นทุนผันแปรเพิ่มขึ้น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</si>
  <si>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กลุ่มบริหารงานคลังและพัสดุ (0103200005) ต้นทุนผันแปรเพิ่มขึ้นมากกว่าร้อยละ 100 เนื่องมาจากในปีงบประมาณ 2561 มีการจัดซื้อวัสดุสำนักงานเพิ่มขึ้น จำนวน 72,760 บาท ส่งผลทำให้ต้นทุนผันแปรเพิ่มขึ้น</t>
    </r>
  </si>
  <si>
    <t>กองยุทธศาสตร์และแผนงาน</t>
  </si>
  <si>
    <t>ปีงบประมาณ พ.ศ. 2561</t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</si>
  <si>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ค่าใช้จ่ายเพื่อสนับสนุนงานศูนย์ประสานการบริการด้านการลงทุน (OSOS) มีต้นทุนรวม ปริมาณหน่วยนับ และต้นทุนต่อหน่วยเพิ่มขึ้นร้อยละ 100 เนื่องมาจากกิจกรรมย่อยดังกล่าวเป็นกิจกรรมย่อยใหม่ของปี 2561 จึงทำให้ต้นทุนรวม ปริมาณหน่วยนับ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</si>
  <si>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การชักจูงการลงทุนจากต่างประเทศสำหรับพื้นที่ระเบียงเศรษฐกิจภาคตะวันออก (EEC) มีต้นทุนรวม ปริมาณหน่วยนับ และต้นทุนต่อหน่วยเพิ่มขึ้นร้อยละ 100 เนื่องจาก เนื่องมาจากผลผลิตหลักดังกล่าวเป็นผลผลิตหลักใหม่ของปี 2561 ตามงบประมาณรายจ่ายประจำปีงบประมาณ พ.ศ. 2561 จึงส่งผลทำให้ต้นทุนรวม ปริมาณหน่วยนับ และต้นทุนต่อหน่วยเพิ่มขึ้น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</si>
  <si>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ประจำการสถานกงสุลใหญ่ ณ นครซิดนีย์ (0103200042) ต้นทุนผันแปรลดลงร้อยละ 42.02 เนื่องมาจากในปี 2560 มีค่าใช้จ่ายเดินทางไปประจำการที่ประจำการสถานกงสุลใหญ่ ณ นครซิดนีย์ ของคุณวรวรรณ นรสุชา จำนวน 1,523,239.62 บาท ซึ่งในปี 2561 ไม่มีรายการดังกล่าว อีกทั้งในปี 2561 มีการจ่ายค่าจ้างที่ปรึกษาลดลง จำนวน 2,686,857.10 บาท เนื่องจากในปี 2560 มีการจ้างที่ปรึกษาจำนวน 2 ราย แต่ในปี 2561 จ้างที่ปรึกษาเพียง 1 ราย ส่งผลทำให้ต้นทุนผันแปรลดลง</t>
    </r>
  </si>
  <si>
    <r>
      <rPr>
        <u val="single"/>
        <sz val="16"/>
        <rFont val="TH SarabunPSK"/>
        <family val="2"/>
      </rPr>
      <t xml:space="preserve">ศูนย์ต้นทุนสนับสนุน </t>
    </r>
    <r>
      <rPr>
        <sz val="16"/>
        <rFont val="TH SarabunPSK"/>
        <family val="2"/>
      </rPr>
      <t xml:space="preserve"> กลุ่มบริหารทรัพยากรบุคคล (0103200004) ต้นทุนผันแปรเพิ่มขึ้นร้อยละ 58.98 เนื่องมาจากในปี 2560 มีการเบิกจ่ายเงินกันเหลื่อมปี 2559 รายการค่าจ้างที่ปรึกษาบริหารทรัพยากรบุคคล จำนวน 1,194,725 บาท และเบิกจ่ายเงินกันเหลื่อมปี 2558 เพื่อจัดสรรเป็นสิ่งจูงใจสำหรับค่าใช้จ่ายในการพัฒนาบุคลากร จำนวน 1,839,273 บาท ซึ่งในปี 2561 ไม่มีรายการดังกล่าว ดังนั้นเมื่อเปรียบเทียบกับปี 2561 จึงทำให้ต้นทุนผันแปรลดลง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</si>
  <si>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กลุ่มพัฒนาระบบบริหาร (0103200002) ต้นทุนผันแปรเพิ่มขึ้นร้อยละ 100 เนื่องมาจากกลุ่มพัฒนาระบบบริหารมีหน้าที่รับผิดชอบเกี่ยวกับการจัดอบรบเพื่อพัฒนาบุคลากร ซึ่งถือเป็นความรับผิดชอบใหม่ในปี 2561 ดังนั้นจึงมีรายการค่าใช้จ่ายในการฝึกอบรมเพิ่มขึ้น ส่งผลให้ต้นทุนผันแปรเพิ่มขึ้น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</si>
  <si>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กลุ่มตรวจสอบภายใน (0103200001) ต้นทุนผันแปรเพิ่มขึ้นร้อยละ 97.93 เนื่องมาจากในปี 2561 มีค่าใช้จ่ายในการเข้าร่วมโครงการอบรม "หลักสูตรประกาศนียบัตรผู้ตรวจสอบภายในภาครัฐ (CGIA) จำนวน 35,000 บาท ซึ่งในปี 2560 ไม่มีรายการดังกล่าว ส่งผลให้ต้นทุนผันแปรเพิ่มขึ้น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</si>
  <si>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กลุ่มกฎหมาย (0103200008) ต้นทุนผันแปรลดลงร้อยละ 94.88 เนื่องมาจากในปีงบประมาณ 2560 มีการจ้างที่ปรึกษากฏหมาย จำนวน 700,000 บาท ซึ่งในปี 2561 ไม่มีการจ้างที่ปรึกษาดังกล่าว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</si>
  <si>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ประจำการสถานกงสุลใหญ่ ณ เมืองมุมไบ (0103200043) ต้นทุนผันแปรเพิ่มขึ้นร้อยละ 38.37 เนื่องมาจากในปี 2561ค่าใช้จ่ายเดินทางไปประจำการที่ประจำการสถานกงสุลใหญ่ ณ เมืองมุมไบ ของคุณนันทพล สุดบรรทัด</t>
    </r>
    <r>
      <rPr>
        <sz val="16"/>
        <color indexed="10"/>
        <rFont val="TH SarabunPSK"/>
        <family val="2"/>
      </rPr>
      <t xml:space="preserve"> </t>
    </r>
    <r>
      <rPr>
        <sz val="16"/>
        <rFont val="TH SarabunPSK"/>
        <family val="2"/>
      </rPr>
      <t>จำนวน 1,346,500.65 บาท ซึ่งในปี 2560 ไม่มีรายการดังกล่าว ส่งผลให้ต้นทุนผันแปรเพิ่มขึ้น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</si>
  <si>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งานประชาสัมพันธ์เผยแพร่ผ่านสื่อ, งานประชาสัมพันธ์ในต่างประเทศ, งานเผยแพร่ผ่าน Website และงานบริการลงทุน ศูนย์วีซ่าและหน่วยช่างฝีมือ มีปริมาณหน่วยนับเพิ่มขึ้นร้อยละ 100 และต้นทุนต่อหน่วยลดลงร้อยละ 78.13 ร้อยละ 67.06 ร้อยละ 75.61 และร้อยละ 89.41 ตามลำดับ เนื่องมาจากในปี 2561 ศูนย์บริการลงทุนที่รับผิดชอบกิจกรรมย่อยดังกล่าวโดยตรง ได้รับจัดสรรงบกลางปี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ภายใต้แผนงานพัฒนาระเบียบเศรษฐกิจภาคตะวันออก (พ.ศ.2560-2564) จำนวน 68,052,000 บาท และงบกลางปี 2559 เงินสำรองจ่ายเพื่อกรณีฉุกเฉินหรือจำเป็น เพื่อเป็นค่าใช้จ่ายดำเนินการโครงการดำเนินงานโฆษณา ประชาสัมพันธ์และจัดกิจกรรมเพื่อพลิกโฉมประเทศไทยสู่ "Thailand 4.0" จำนวน 125,463,300 บาท ศูนย์บริการลงทุนจึงได้ดำเนินการประชาสัมพันธ์และเผยแพร่ผ่านสื่อต่าง ๆ ทั้งสื่อออนไลน์ ดิจิทัล และโซเซียลมีเดียเพิ่มมากขึ้น ส่งผลให้ปริมาณหน่วยนับเพิ่มขึ้น และส่งผลทำให้ต้นทุนต่อหน่วยลดลง 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</si>
  <si>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งานส่งเสริมการลงทุนไทยในต่างประเทศ (CLMV)/(ตลาดใหม่) มีปริมาณหน่วยนับลดลงร้อยละ 27.66 และต้นทุนต่อหน่วยเพิ่มขึ้นร้อยละ 100 อันเนื่องมาจากกองส่งเสริมการลงทุนไทยในต่างประเทศที่รับผิดชอบกิจกรรมย่อยดังกล่าว ได้รับงบประมาณการจัดสัมมนาการส่งเสริมการลงทุนของไทยในภูมิภาคอาเซียน ( Thailand Overseas Investment Forum) ในปี 2560 ซึ่งได้ดำเนินการเสร็จสิ้นแล้ว ดังนั้นปี 2561 จึงไม่ได้รับจัดสรรงบประมาณดังกล่าว เมื่อแบ่งสัดส่วนตามภาระงานใหม่จึงทำให้งานส่งเสริมการลงทุนไทยในต่างประเทศ (CLMV)/(ตลาดใหม่) มีปริมาณหน่วยนับลดลง และส่งผลทำให้ต้นทุนต่อหน่วยเพิ่มขึ้นเมื่อเทียบกับปี 2560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</si>
  <si>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การจัดสัมมนาการส่งเสริมการลงทุนของไทยในภูมิภาคอาเซียน ( Thailand Overseas Investment Forum) มีต้นทุนรวม ปริมาณหน่วยนับ และต้นทุนต่อหน่วยลดลงร้อยละ 100 เนื่องมาจากกองส่งเสริมการลงทุนไทยในต่างประเทศที่รับผิดชอบกิจกรรมย่อยดังกล่าว ได้รับงบประมาณการจัดสัมมนาการส่งเสริมการลงทุนของไทยในภูมิภาคอาเซียน ( Thailand Overseas Investment Forum) ในปี 2560 ซึ่งได้ดำเนินการเสร็จสิ้นแล้ว ดังนั้นปี 2561 จึงไม่ได้รับจัดสรรงบประมาณดังกล่าว จึงทำให้ต้นทุนรวม ปริมาณหน่วยนับ และต้นทุนต่อหน่วยลดลง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</si>
  <si>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งานด้านพัฒนาทรัพยากรบุคคล, งานด้านพัฒนาทรัพยากรบุคคล และกิจกรรมด้านวินัยและความรับผิดทางละเมิด มีต้นทุนรวมลดลงร้อยละ 34.79 และต้นทุนต่อหน่วยลดลงร้อยละ 35.22 ร้อยละ 2.86 และร้อยละ 34.79 ตามลำดับ เนื่องมาจากในปี 2560 มีการเบิกจ่ายเงินกันเหลื่อมปี 2559 รายการค่าจ้างที่ปรึกษาบริหารทรัพยากรบุคคล จำนวน 1,194,725 บาท และเบิกจ่ายเงินกันปี 2558 เพื่อจัดสรรเป็นสิ่งจูงใจสำหรับค่าใช้จ่ายในการพัฒนาบุคลากร จำนวน 1,839,273 บาท ซึ่งในปี 2561 ไม่มีรายการดังกล่าว ดังนั้นเมื่อเปรียบเทียบกับปี 2561 จึงทำให้ต้นทุนรวมและต้นทุนต่อหน่วยลดลง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</si>
  <si>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งานด้านแผนและงานด้านงบประมาณ มีต้นทุนรวมลดลงร้อยละ 57.23 และต้นทุนต่อหน่วยลงร้อยละ 57.23 และร้อยละ 51.64 เนื่องมาจากในปี 2560 มีการใช้จ่ายเงินงบกลางปี 2559 ในการจัดงานนิทรรศการ Opportunity Thailand เพื่อประชาสัมพันธ์ความพร้อมในด้านต่าง ๆ ของประเทศไทยในการพัฒนาประเทศสู่ "Thailand 4.0" แก่หน่วยงานภาครัฐ เอกชน สื่อมวลชน และผู้มีส่วนเกี่ยวข้องกับการลงทุนทั้งในประเทศและต่างประเทศ จำนวน 25,820,594.50 บาท ซึ่งในปี 2561 ไม่มีรายการดังกล่าว ดังนั้นเมื่อเทียบกับปี 2561 จึงทำให้ต้นทุนรวมและต้นทุนต่อหน่วยลดลง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</si>
  <si>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กองยุทธศาสตร์และแผนงาน (0103200015) ต้นทุนผันแปรลดลงร้อยละ 71.29 เนื่องมาจากในปี 2560 มีการใช้จ่ายเงินงบกลางปี 2559 ในการจัดงานนิทรรศการ Opportunity Thailand เพื่อประชาสัมพันธ์ความพร้อมในด้านต่าง ๆ ของประเทศไทยในการพัฒนาประเทศสู่ "Thailand 4.0" แก่หน่วยงานภาครัฐ เอกชน สื่อมวลชน และผู้มีส่วนเกี่ยวข้องกับการลงทุนทั้งในประเทศและต่างประเทศ จำนวน 25,820,594.50 บาท ซึ่งในปี 2561 ไม่มีรายการดังกล่าว ดังนั้นเมื่อเปรียบเทียบกับปี 2561 จึงทำให้ต้นทุนผันแปรลดลง</t>
    </r>
  </si>
  <si>
    <r>
      <t>ผลผลิตย่อย</t>
    </r>
    <r>
      <rPr>
        <sz val="16"/>
        <rFont val="TH SarabunPSK"/>
        <family val="2"/>
      </rPr>
      <t xml:space="preserve"> การพัฒนาปัจจัยสนับสนุนการลงทุน มีต้นทุนรวมลดลงร้อยละ 34.98 และต้นทุนต่อหน่วยลดลงร้อยละ 39.93 เนื่องมาจากกิจกรรมย่อย กิจกรรมผู้ซื้อพบผู้ขาย กิจกรรมตลาดกลางซื้อขายชิ้นส่วน กิจกรรมสัมมนาเพื่อกระตุ้นการพัฒนาขีดความสามารถผู้ประกอบการไทย และงานเผยแพร่ประชาสัมพันธ์การพัฒนาการเชื่อมโยงการลงทุน ที่อยู่ภายใต้ผลผลิตย่อยดังกล่าวในปี 2560 ได้แยกออกไปตั้งเป็นผลผลิตย่อยใหม่ในปี 2561 คือ ผลผลิตย่อยการพัฒนาการเชื่อมโยงอุตสาหกรรม ทำให้ในปี 2561 คงเหลือกิจกรรมย่อยภายใต้ผลผลิตย่อยการพัฒนาปัจจัยสนับสนุนการลงทุนเพียงกิจกรรมเดียว คือ งานส่งเสริมการลงทุนไทยในต่างประเทศ ดังนั้นเมื่อเทียบกับปี 2560 จึงส่งผลทำให้ต้นทุนรวมและต้นทุนต่อหน่วยลดลง</t>
    </r>
  </si>
  <si>
    <r>
      <t>ผลผลิตย่อย</t>
    </r>
    <r>
      <rPr>
        <sz val="16"/>
        <rFont val="TH SarabunPSK"/>
        <family val="2"/>
      </rPr>
      <t xml:space="preserve"> การส่งเสริมการลงทุนไทยในต่างประเทศ มีต้นทุนรวมลดลงร้อยละ 27.19 และปริมาณหน่วยนับลดลงร้อยละ 27.66 เนื่องมาจากกองส่งเสริมการลงทุนไทยในต่างประเทศที่รับผิดชอบผลผลิตย่อยดังกล่าวในปี 2560 ได้รับงบประมาณการจัดสัมมนาการส่งเสริมการลงทุนของไทยในภูมิภาคอาเซียน ( Thailand Overseas Investment Forum) ที่อยู่ภายใต้ผลผลิตย่อยการส่งเสริมการลงทุนไทยในต่างประเทศ ซึ่งได้ดำเนินการจัดสัมมนาฯ เสร็จสิ้นแล้วในปี 2560 ดังนั้นปี 2561 จึงไม่ได้รับจัดสรรงบประมาณดังกล่าว เมื่อแบ่งสัดส่วนตามภาระงานใหม่ จึงทำให้ผลผลิตย่อยการส่งเสริมการลงทุนไทยในต่างประเทศมีต้นทุนรวมและปริมาณหน่วยนับลดลง</t>
    </r>
  </si>
  <si>
    <r>
      <t>ผลผลิตย่อย</t>
    </r>
    <r>
      <rPr>
        <sz val="16"/>
        <rFont val="TH SarabunPSK"/>
        <family val="2"/>
      </rPr>
      <t xml:space="preserve"> การพัฒนาการเชื่อมโยงอุตสาหกรรม มีต้นทุนรวม ปริมาณหน่วยนับ และต้นทุนต่อหน่วยเพิ่มขึ้นร้อยละ 100 เนื่องจากผลผลิตย่อยดังกล่าวเป็นผลผลิตย่อยใหม่ของปี 2561 ประกอบด้วยกิจกรรมย่อย กิจกรรมผู้ซื้อพบผู้ขาย กิจกรรมตลาดกลางซื้อขายชิ้นส่วน กิจกรรมสัมมนาเพื่อกระตุ้นการพัฒนาขีดความสามารถผู้ประกอบการไทย และงานเผยแพร่ประชาสัมพันธ์การพัฒนาการเชื่อมโยงการลงทุน ซึ่งในปี 2560 กิจกรรมย่อยดังกล่าวจะอยู่ภายใต้ผลผลิตย่อยการพัฒนาปัจจัยสนับสนุนการลงทุน ดังนั้นเมื่อนำมาเปรียบเทียบกับปี 2560 จึงทำให้ต้นทุนรวม ปริมาณหน่วยนับ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</si>
  <si>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การพัฒนาปัจจัยสนับสนุนการลงทุน มีต้นทุนรวมลดลงร้อยละ 51.03 และต้นทุนต่อหน่วยลดลงร้อยละ 54.75 เนื่องมาจากิจกรรมย่อย กิจกรรมผู้ซื้อพบผู้ขาย กิจกรรมตลาดกลางซื้อขายชิ้นส่วน กิจกรรมสัมมนาเพื่อกระตุ้นการพัฒนาขีดความสามารถผู้ประกอบการไทย และงานเผยแพร่ประชาสัมพันธ์การพัฒนาการเชื่อมโยงการลงทุน ที่อยู่ภายใต้กิจกรรมหลักดังกล่าวในปี 2560 ได้แยกออกไปตั้งเป็นกิจกรรมหลักใหม่ในปี 2561 คือ กิจกรรมหลักการพัฒนาการเชื่อมโยงอุตสาหกรรม ทำให้ในปี 2561 คงเหลือกิจกรรมย่อยภายใต้กิจกรรมหลักการพัฒนาปัจจัยสนับสนุนการลงทุนเพียงกิจกรรมเดียว คือ งานส่งเสริมการลงทุนไทยในต่างประเทศ ดังนั้นเมื่อเทียบกับปี 2560  จึงส่งผลทำให้ต้นทุนรวมและต้นทุนต่อหน่วยลดลง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</si>
  <si>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การจัดนำผู้ผลิตชิ้นส่วนอุตสาหกรรมไทยร่วมงานแสดงชิ้นส่วนอุตสาหกรรมระดับนานาชาติ มีต้นทุนรวม ปริมาณหน่วยนับ และต้นทุนต่อหน่วยลดลงร้อยละ 100 เนื่องมาจากในปี 2560 มีกิจกรรมย่อยที่อยู่ภายใต้กิจกรรมหลักการจัดนำผู้ผลิตชิ้นส่วนอุตสาหกรรมไทยร่วมงานแสดงชิ้นส่วนอุตสาหกรรมระดับนานาชาติ คือ กิจกรรมจัดนำผู้ผลิตชิ้นส่วนอุตสาหกรรมไทยร่วมงานแสดงชิ้นส่วนอุตสาหกรรมระดับนานาชาติ แต่ในปี 2561 กิจกรรมย่อย กิจกรรมจัดนำผู้ผลิตชิ้นส่วนอุตสาหกรรมไทยร่วมงานแสดงชิ้นส่วนอุตสาหกรรมระดับนานาชาติ ได้กลายเป็นกิจกรรมย่อยภายใต้กิจกรรมหลักการพัฒนาการเชื่อมโยงอุตสาหกรรม จึงทำให้ต้นทุนรวม ปริมาณหน่วยนับ และต้นทุนต่อหน่วยลดลง</t>
    </r>
  </si>
  <si>
    <r>
      <t>ผลผลิตย่อย</t>
    </r>
    <r>
      <rPr>
        <sz val="16"/>
        <rFont val="TH SarabunPSK"/>
        <family val="2"/>
      </rPr>
      <t xml:space="preserve"> การจัดนำผู้ผลิตชิ้นส่วนอุตสาหกรรมไทยร่วมงานแสดงชิ้นส่วนอุตสาหกรรมระดับนานาชาติ มีต้นทุนรวม ปริมาณหน่วยนับ และต้นทุนต่อหน่วยลดลงร้อยละ 100 เนื่องมาจากในปี 2560 มีกิจกรรมย่อยที่อยู่ภายใต้ผลผลิตย่อยการจัดนำผู้ผลิตชิ้นส่วนอุตสาหกรรมไทยร่วมงานแสดงชิ้นส่วนอุตสาหกรรมระดับนานาชาติ คือ กิจกรรมจัดนำผู้ผลิตชิ้นส่วนอุตสาหกรรมไทยร่วมงานแสดงชิ้นส่วนอุตสาหกรรมระดับนานาชาติ แต่ในปี 2561 กิจกรรมย่อย กิจกรรมจัดนำผู้ผลิตชิ้นส่วนอุตสาหกรรมไทยร่วมงานแสดงชิ้นส่วนอุตสาหกรรมระดับนานาชาติ ได้กลายเป็นกิจกรรมย่อยภายใต้ผลผลิตย่อยการพัฒนาการเชื่อมโยงอุตสาหกรรม  จึงทำให้ต้นทุนรวม ปริมาณหน่วยนับ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</si>
  <si>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การพัฒนาการเชื่อมโยงอุตสาหกรรม มีต้นทุนรวม ปริมาณหน่วยนับ และต้นทุนต่อหน่วยเพิ่มขึ้นร้อยละ 100 เนื่องมาจากกิจกรรมหลักดังกล่าวเป็นกิจกรรมหลักใหม่ของปี 2561 ประกอบด้วยกิจกรรมย่อย กิจกรรมผู้ซื้อพบผู้ขาย กิจกรรมตลาดกลางซื้อขายชิ้นส่วน กิจกรรมสัมมนาเพื่อกระตุ้นการพัฒนาขีดความสามารถผู้ประกอบการไทย และงานเผยแพร่ประชาสัมพันธ์การพัฒนาการเชื่อมโยงการลงทุน ซึ่งในปี 2560 กิจกรรมย่อยดังกล่าวจะอยู่ภายใต้กิจกรรมหลักการพัฒนาปัจจัยสนับสนุนการลงทุน ดังนั้นเมื่อนำมาเปรียบเทียบกับปี 2560 จึงส่งผลทำให้ต้นทุนรวม ปริมาณหน่วยนับ และต้นทุนต่อหน่วยเพิ่มขึ้น</t>
    </r>
  </si>
  <si>
    <r>
      <t>ผลผลิตย่อย</t>
    </r>
    <r>
      <rPr>
        <sz val="16"/>
        <rFont val="TH SarabunPSK"/>
        <family val="2"/>
      </rPr>
      <t xml:space="preserve"> การพัฒนาระบบนำร่องการจัดหาและพัฒนาระบบ Single  Window ศูนย์บริการวีซ่าและใบอนุญาตทำงาน มีต้นทุนรวม ปริมาณหน่วยนับ และต้นทุนต่อหน่วยลดลงร้อยละ 100 เนื่องมาจากสำนักงานคณะกรรมการส่งเสริมการลงทุนไม่สามารถก่อหนี้ผูกพันได้ภายในระยะเวลาที่กำหนด สำนักงบประมาณจึงดึงงบประมาณการพัฒนาระบบนำร่องการจัดหาและพัฒนาระบบ Single Window กลับ ส่งผลทำให้ต้นทุนรวม ปริมาณหน่วยนับ และต้นทุนต่อหน่วยลดลง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</si>
  <si>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งานพัฒนาระบบนำร่องการจัดหาและพัฒนาระบบ Single Window มีต้นทุนรวม หน่วยนับ และต้นทุนต่อหน่วยลดลงร้อยละ 100 เนื่องมาจากสำนักงานคณะกรรมการส่งเสริมการลงทุนไม่สามารถก่อหนี้ผูกพันได้ภายในระยะเวลาที่กำหนด สำนักงบประมาณจึงดึงงบประมาณการพัฒนาระบบนำร่องการจัดหาและพัฒนาระบบ Single Window กลับ ส่งผลทำให้ต้นทุนรวม 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</si>
  <si>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การพัฒนาระบบนำร่องการจัดหาและพัฒนาระบบ Single  Window ศูนย์บริการวีซ่าและใบอนุญาตทำงาน มีต้นทุนรวม ปริมาณหน่วยนับ และต้นทุนต่อหน่วยลดลงร้อยละ 100 เนื่องมาจากสำนักงานคณะกรรมการส่งเสริมการลงทุนไม่สามารถก่อหนี้ผูกพันได้ภายในระยะเวลาที่กำหนด สำนักงบประมาณจึงดึงงบประมาณการพัฒนาระบบนำร่องการจัดหาและพัฒนาระบบ Single Window กลับ ส่งผลทำให้ต้นทุนรวม ปริมาณหน่วยนับ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</si>
  <si>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การลงทุนในประเทศที่ได้รับการส่งเสริม มีปริมาณหน่วยนับลดลงร้อยละ 44.88 และต้นทุนต่อหน่วยเพิ่มขึ้นร้อยละ 66.69  เนื่องมาจากในปี 2561  สำนักงานคณะกรรมการส่งเสริมการลงทุนโดยกองพัฒนาและเชื่อมโยงการลงทุนได้มีการจัดกิจกรรมให้กับ SMEs เป็นกิจกรรมประเภทธุรกิจสัมพันธ์ และการจัดนำผู้ผลิตชิ้นส่วนเยี่ยมพบโรงงานประกอบผลิตภัณฑ์  โดยบริษัทผู้ซื้อจะเป็นผู้คัดเลือกบริษัทผู้ผลิตที่สามารถเข้าร่วมกิจกรรมด้วยตนเอง เพื่อให้ตรงตามความต้องการซื้อชิ้นส่วนของบริษัทนั้น ๆ ดังนั้น จึงทำให้มีบริษัทที่เข้าร่วมกิจกรรมลดลงเมื่อเทียบกับปี 2560 ส่งผลทำให้ปริมาณหน่วยนับลดลง และมีต้นทุนต่อหน่วยเพิ่มขึ้น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</si>
  <si>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การดำเนินภารกิจในประเทศ มีปริมาณหน่วยนับลดลงร้อยละ 44.88 และต้นทุนต่อหน่วยเพิ่มขึ้นร้อยละ 79.17 เนื่องมาจากในปี 2561  สำนักงานคณะกรรมการส่งเสริมการลงทุนโดยกองพัฒนาและเชื่อมโยงการลงทุนได้มีการจัดกิจกรรมให้กับ SMEs เป็นกิจกรรมประเภทธุรกิจสัมพันธ์ และการจัดนำผู้ผลิตชิ้นส่วนเยี่ยมพบโรงงานประกอบผลิตภัณฑ์  โดยบริษัทผู้ซื้อจะเป็นผู้คัดเลือกบริษัทผู้ผลิตที่สามารถเข้าร่วมกิจกรรมด้วยตนเอง เพื่อให้ตรงตามความต้องการซื้อชิ้นส่วนของบริษัทนั้น ๆ ดังนั้น จึงทำให้มีบริษัทที่เข้าร่วมกิจกรรมลดลงเมื่อเทียบกับปี 2560 ส่งผลทำให้ปริมาณหน่วยนับลดลง และมีต้นทุนต่อหน่วยเพิ่มขึ้น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</si>
  <si>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โครงการจัดนำผู้ผลิตชิ้นส่วนอุตสาหกรรมไทยร่วมงานแสดงชิ้นส่วนอุตสาหกรรมระดับนานาชาติ มีต้นทุนรวม ปริมาณหน่วยนับ และต้นทุนต่อหน่วยลดลงร้อยละ 100 เนื่องมาจากในปี 2560 มีกิจกรรมย่อยที่อยู่ภายใต้ผลผลิตหลักโครงการจัดนำผู้ผลิตชิ้นส่วนอุตสาหกรรมไทยร่วมงานแสดงชิ้นส่วนอุตสาหกรรมระดับนานาชาติ คือ กิจกรรมจัดนำผู้ผลิตชิ้นส่วนอุตสาหกรรมไทยร่วมงานแสดงชิ้นส่วนอุตสาหกรรมระดับนานาชาติ แต่ในปี 2561 กิจกรรมย่อย กิจกรรมจัดนำผู้ผลิตชิ้นส่วนอุตสาหกรรมไทยร่วมงานแสดงชิ้นส่วนอุตสาหกรรมระดับนานาชาติ ได้กลายเป็นกิจกรรมย่อยภายใต้ผลผลิตหลักโครงการส่งเสริมการลงทุนเพื่อเพิ่มความสามารถในการแข่งขันทั้งการลงทุนในประเทศและการลงทุนของไทยในต่างประเทศ  จึงทำให้ต้นทุนรวม ปริมาณหน่วยนับ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</si>
  <si>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โครงการพัฒนาระบบนำร่องการจัดหาและพัฒนาระบบ Single  Window ศูนย์บริการวีซ่าและใบอนุญาตทำงาน  มีต้นทุนรวม ปริมาณหน่วยนับ และต้นทุนต่อหน่วยลดลงร้อยละ 100  เนื่องมาจากสำนักงานคณะกรรมการส่งเสริมการลงทุนไม่สามารถก่อหนี้ผูกพันได้ภายในระยะเวลาที่กำหนด สำนักงบประมาณจึงดึงงบประมาณการพัฒนาระบบนำร่องการจัดหาและพัฒนาระบบ Single Window กลับ ส่งผลทำให้ต้นทุนรวม ปริมาณหน่วยนับ และต้นทุนต่อหน่วยลดลง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</si>
  <si>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กองส่งเสริมการลงทุนไทยในต่างประเทศ (0103200011) ต้นทุนผันแปรลดลงร้อยละ 37.02  เนื่องมาจากในปี 2560 กองส่งเสริมการลงทุนไทยในต่างประเทศได้รับงบประมาณการจัดสัมมนาการส่งเสริมการลงทุนของไทยในภูมิภาคอาเซียน ( Thailand Overseas Investment Forum) ซึ่งได้ดำเนินการจัดสัมมนาฯ เสร็จสิ้นแล้วในปี 2560 ดังนั้นปี 2561 จึงไม่ได้รับจัดสรรงบประมาณดังกล่าว เมื่อเทียบกับปี 2560 จึงทำให้ต้นทุนผันแปรลดลง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</si>
  <si>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สำนักงานเศรษฐกิจการลงทุน ณ กรุงโตเกียว (0103200034) ต้นทุนผันแปรเพิ่มขึ้นร้อยละ 96.14 เนื่องมาจากในปี 2561 มีค่าใช้จ่ายเดินทางไปประจำการที่สำนักงานเศรษฐกิจการลงทุน ณ กรุงโตเกียว ของคุณสุธาสินี โยชิอิ จำนวน 2,458,093.25 บาท และค่าใช้จ่ายในการประชาสัมพันธ์จากเงินงบกลางปี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ภายใต้แผนงานพัฒนาระเบียบเศรษฐกิจภาคตะวันออก (พ.ศ.2560-2564) จำนวน 3,731,810.33 บาท ซึ่งในปี 2560 ไม่มีรายการดังกล่าว ส่งผลทำให้ต้นทุนผันแปรเพิ่มขึ้น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</si>
  <si>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กลุ่มบัตรส่งเสริม (0103200007) ต้นทุนผันแปรเพิ่มขึ้นร้อยละ 68.84 เนื่องมาจากในปีงบประมาณ 2561 มีการจัดซื้อจัดจ้างพิมพ์ปกบัตรส่งเสริมและกระดาษคองเกอเรอร์สำหรับพิมพ์บัตรส่งเสริม จำนวน 269,640 บาท ส่งผลทำให้ต้นทุนผันแปรเพิ่มขึ้น</t>
    </r>
  </si>
  <si>
    <r>
      <rPr>
        <u val="single"/>
        <sz val="16"/>
        <color indexed="8"/>
        <rFont val="TH SarabunPSK"/>
        <family val="2"/>
      </rPr>
      <t>ต้นทุนทางอ้อม</t>
    </r>
    <r>
      <rPr>
        <sz val="16"/>
        <color indexed="8"/>
        <rFont val="TH SarabunPSK"/>
        <family val="2"/>
      </rPr>
      <t xml:space="preserve"> ค่าจำหน่ายจากการขายสินทรัพย์ ต้นทุนผันแปรเพิ่มขึ้นร้อยละ 100 เนื่องมาจากในปี 2561 มีการตัดจำหน่ายครุภัณฑ์สำนักงานซึ่งยังไม่หมดอายุการใช้งาน รายการเครื่องโทรสาร brother MFC-9120 CN ที่มีสภาพชำรุดไม่สามารถใช้งานได้ และครุภัณฑ์โฆษณาที่ยังไม่หมดอายุการใช้งาน รายการทีวีสีซัมซุง รุ่น UA 46D7000LR ที่จอเสื่อมสภาพ หากซ่อมแซมจะเสียค่าใช้จ่ายสูง สำนักงานคณะกรรมการส่งเสริมการลงทุนจึงดำเนินการขายทอดตลาดครุภัณฑ์ที่ชำรุดดังกล่าว ส่งผลทำให้ต้นทุนผันแปรเพิ่มขึ้น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</si>
  <si>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งานวารสารส่งเสริมการลงทุน มีปริมาณหน่วยนับลดลงร้อยละ 50 และต้นทุนต่อหน่วยเพิ่มขึ้นร้อยละ 22.47 เนื่องมาจากในปี 2561 ศูนย์บริการลงทุนที่รับผิดชอบกิจกรรมย่อยดังกล่าวได้ปรับรูปแบบวารสารส่งเสริมการลงทุนจากเดิมที่จัดทำเป็นรูปเล่มราย 1 เดือน ทั้งหมด 12 เดือน เปลี่ยนเป็นรูปแบบอิเล็กทรอนิกส์ (e-Journal) ราย 2 เดือน ทั้งหมด 6 ฉบับ ทำให้ปริมาณหน่วยนับลดลง ส่งผลให้ต้นทุนต่อหน่วยเพิ่มขึ้น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</si>
  <si>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งานจัดสัมนา, งานจัดกิจกรรม Door-knocking และงานจัดกิจกรรม Networking มีปริมาณหน่วยนับลดลงร้อยละ 50.77 ร้อยละ 34 และร้อยละ 10.53 ต้นทุนต่อหน่วยลดลงร้อยละ 26.56 ร้อยละ 29.57 ร้อยละ 37.75 และต้นทุนรวมลดลงร้อยละ 63.84  ร้อยละ 53.51 และร้อยละ 44.30 เนื่องมาจากในปี 2561 สำนักงานคณะกรรมการส่งเสริมการลงทุน ได้รับจัดสรรงบประมาณค่าใช้จ่ายการชักจูงการลงทุนจากต่างประเทศสำหรับพื้นที่ระเบียงเศรษฐกิจภาคตะวันออก (EEC) ภายใต้ผลผลิตการชักจูงการลงทุนจากต่างประเทศสำหรับพื้นที่ระเบียงเศรษฐกิจภาคตะวันออก (EEC)  ซึ่งเป็นผลผลิตใหม่ของปี 2561 จำนวน 33,000,000 บาท โดยกองส่งเสริมการลงทุนจากต่างประเทศรับผิดชอบ จำนวน 10,000,000 บาท ดังนั้นกองส่งเสริมการลงทุนจากต่างประเทศ จึงใช้งบประมาณในกิจกรรมย่อยงานจัดสัมนา, งานจัดกิจกรรม Door-knocking และงานจัดกิจกรรม Networking จากเงินงบประมาณค่าใช้จ่ายการชักจูงการลงทุนจากต่างประเทศสำหรับพื้นที่ระเบียงเศรษฐกิจภาคตะวันออก (EEC) ในปี 2561 แทน จึงทำให้กิจกรรมย่อยงานจัดสัมนา, งานจัดกิจกรรม Door-knocking และงานจัดกิจกรรม Networking มีต้นทุนรวม ปริมาณหน่วยนับ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</si>
  <si>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กิจกรรมหลัก</t>
    </r>
    <r>
      <rPr>
        <sz val="16"/>
        <color indexed="8"/>
        <rFont val="TH SarabunPSK"/>
        <family val="2"/>
      </rPr>
      <t xml:space="preserve"> การชักจูงการลงทุนในอุตสาหกรรมเป้าหมายและอุตสาหกรรมสำคัญตามนโยบายรัฐบาล มีต้นทุนรวมลดลงร้อยละ 58.53 และต้นทุนต่อหน่วยลดลงร้อยละ 54.70 เนื่องมาจากในปี 2561 สำนักงานคณะกรรมการส่งเสริมการลงทุน ได้รับจัดสรรงบประมาณค่าใช้จ่ายการชักจูงการลงทุนจากต่างประเทศสำหรับพื้นที่ระเบียงเศรษฐกิจภาคตะวันออก (EEC) ภายใต้กิจกรรมหลักการชักจูงการลงทุนจากต่างประเทศสำหรับพื้นที่ระเบียงเศรษฐกิจภาคตะวันออก (EEC)  ซึ่งเป็นกิจกรรมหลักใหม่ของปี 2561 จำนวน 33,000,000 บาท โดยกองส่งเสริมการลงทุนจากต่างประเทศรับผิดชอบ จำนวน 10,000,000 บาท ดังนั้นกองส่งเสริมการลงทุนจากต่างประเทศ จึงใช้งบประมาณในกิจกรรมย่อยงานจัดสัมนา, งานจัดกิจกรรม Door-knocking และงานจัดกิจกรรม Networking ที่อยู่ภายใต้กิจกรรมหลักการชักจูงการลงทุนในอุตสาหกรรมเป้าหมายและอุตสาหกรรมสำคัญตามนโยบายรัฐบาล จากเงินงบประมาณค่าใช้จ่ายการชักจูงการลงทุนจากต่างประเทศสำหรับพื้นที่ระเบียงเศรษฐกิจภาคตะวันออก (EEC) ในปี 2561 แทน จึงทำให้กิจกรรมหลักการชักจูงการลงทุนในอุตสาหกรรมเป้าหมายและอุตสาหกรรมสำคัญตามนโยบายรัฐบาล มีต้นทุนรวม ปริมาณหน่วยนับ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</si>
  <si>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ต้นทุนทางอ้อม</t>
    </r>
    <r>
      <rPr>
        <sz val="16"/>
        <color indexed="8"/>
        <rFont val="TH SarabunPSK"/>
        <family val="2"/>
      </rPr>
      <t xml:space="preserve"> ค่าใช้จ่ายเดินทาง ต้นทุนผันแปรลดลงร้อยละ 100 เนื่องมาจากในปี 2560 รายการค่าผ่านทางรถยนต์ส่วนกลาง จะอยู่ในความรับผิดชอบของส่วนกลาง ซึ่งจะมีการปันส่วนโดยใช้เกณฑ์การปันส่วนค่าใช้จ่ายทางอ้อมให้กับศูนย์ต้นทุนต่าง ๆ แต่ในปี 2561 สำนักงานคณะกรรมการส่งเสริมการลงทุนได้วิเคราะห์แล้วให้ค่าใช้จ่ายทั้งหมดที่เกี่ยวกับรถยนต์ส่วนกลาง อยู่ในความรับผิดชอบของกลุ่มบริหารงานทั่วไป ซึ่งรวมถึงรายการค่าผ่านทางรถยนต์ส่วนกลางด้วย ดังนั้นในปี 2561 จึงไม่มีรายการค่าใช้จ่ายเดินทางที่เป็นต้นทุนทางอ้อม และเมื่อเปรีบบเทียบกับปี 2560 จึงส่งผลทำให้ต้นผันแปรลดลง</t>
    </r>
  </si>
  <si>
    <t>3. การดำเนินภารกิจในต่างประเทศ</t>
  </si>
  <si>
    <t>4. การเจรจาและทำข้อตกลงด้านการลงทุนในเวทีระหว่างประเทศ</t>
  </si>
  <si>
    <t>5. การพัฒนาปัจจัยสนับสนุนการลงทุน</t>
  </si>
  <si>
    <t>ศูนย์เทคโนโลยีสารสนเทศและการสื่อสาร</t>
  </si>
  <si>
    <t>สำนักงานเลขาธิการ</t>
  </si>
  <si>
    <t>งานช่วยอำนวยการ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</si>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</sst>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dd\,\ mmmm\ dd\,\ yyyy"/>
    <numFmt numFmtId="177" formatCode="0.0"/>
    <numFmt numFmtId="178" formatCode="mmmm\ d\,\ yyyy"/>
    <numFmt numFmtId="179" formatCode="_(* #,##0.0_);_(* \(#,##0.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  <numFmt numFmtId="187" formatCode="_(* #,##0.000_);_(* \(#,##0.000\);_(* &quot;-&quot;??_);_(@_)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0_);\(0.00\)"/>
    <numFmt numFmtId="194" formatCode="0.0000"/>
    <numFmt numFmtId="195" formatCode="0.00_);[Red]\(0.00\)"/>
    <numFmt numFmtId="196" formatCode="0.0_);[Red]\(0.0\)"/>
    <numFmt numFmtId="197" formatCode="0_);[Red]\(0\)"/>
    <numFmt numFmtId="198" formatCode="#,##0.0_);[Red]\(#,##0.0\)"/>
    <numFmt numFmtId="199" formatCode="[$-409]dddd\,\ mmmm\ d\,\ yyyy"/>
    <numFmt numFmtId="200" formatCode="[$-409]h:mm:ss\ AM/PM"/>
    <numFmt numFmtId="201" formatCode="#,##0.000_);[Red]\(#,##0.000\)"/>
    <numFmt numFmtId="202" formatCode="#,##0.0000_);[Red]\(#,##0.0000\)"/>
    <numFmt numFmtId="203" formatCode="#,##0.00000000"/>
    <numFmt numFmtId="204" formatCode="#,##0.00000000000000000"/>
  </numFmts>
  <fonts count="84">
    <font>
      <sz val="10"/>
      <color indexed="8"/>
      <name val="Tahoma"/>
      <family val="0"/>
    </font>
    <font>
      <sz val="9"/>
      <color indexed="8"/>
      <name val="Times New Roman"/>
      <family val="0"/>
    </font>
    <font>
      <sz val="8"/>
      <name val="Tahoma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u val="single"/>
      <sz val="12"/>
      <color indexed="8"/>
      <name val="TH SarabunPSK"/>
      <family val="2"/>
    </font>
    <font>
      <sz val="18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sz val="15.5"/>
      <color indexed="8"/>
      <name val="TH SarabunPSK"/>
      <family val="2"/>
    </font>
    <font>
      <u val="single"/>
      <sz val="15.5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name val="TH SarabunPSK"/>
      <family val="2"/>
    </font>
    <font>
      <sz val="13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b/>
      <sz val="8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0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vertical="center"/>
      <protection/>
    </xf>
    <xf numFmtId="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43" fontId="12" fillId="0" borderId="10" xfId="4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12" fillId="0" borderId="10" xfId="42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vertical="center"/>
      <protection/>
    </xf>
    <xf numFmtId="4" fontId="20" fillId="0" borderId="1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4" fontId="22" fillId="0" borderId="10" xfId="56" applyNumberFormat="1" applyFont="1" applyFill="1" applyBorder="1" applyAlignment="1">
      <alignment vertical="center"/>
      <protection/>
    </xf>
    <xf numFmtId="43" fontId="5" fillId="0" borderId="10" xfId="42" applyFont="1" applyBorder="1" applyAlignment="1">
      <alignment/>
    </xf>
    <xf numFmtId="0" fontId="10" fillId="0" borderId="0" xfId="56" applyFont="1" applyFill="1">
      <alignment/>
      <protection/>
    </xf>
    <xf numFmtId="4" fontId="12" fillId="0" borderId="14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23" fillId="0" borderId="0" xfId="56" applyFont="1" applyFill="1" applyAlignment="1">
      <alignment/>
      <protection/>
    </xf>
    <xf numFmtId="0" fontId="20" fillId="0" borderId="0" xfId="56" applyFont="1" applyFill="1">
      <alignment/>
      <protection/>
    </xf>
    <xf numFmtId="0" fontId="20" fillId="0" borderId="0" xfId="56" applyFont="1" applyFill="1" applyAlignment="1">
      <alignment horizontal="center"/>
      <protection/>
    </xf>
    <xf numFmtId="0" fontId="20" fillId="0" borderId="10" xfId="56" applyFont="1" applyFill="1" applyBorder="1">
      <alignment/>
      <protection/>
    </xf>
    <xf numFmtId="4" fontId="5" fillId="0" borderId="10" xfId="0" applyNumberFormat="1" applyFont="1" applyFill="1" applyBorder="1" applyAlignment="1">
      <alignment horizontal="right"/>
    </xf>
    <xf numFmtId="43" fontId="5" fillId="0" borderId="10" xfId="42" applyFont="1" applyFill="1" applyBorder="1" applyAlignment="1">
      <alignment/>
    </xf>
    <xf numFmtId="43" fontId="5" fillId="0" borderId="12" xfId="42" applyFont="1" applyFill="1" applyBorder="1" applyAlignment="1">
      <alignment horizontal="right" vertical="center"/>
    </xf>
    <xf numFmtId="0" fontId="8" fillId="0" borderId="0" xfId="56" applyFont="1" applyFill="1" applyAlignment="1">
      <alignment/>
      <protection/>
    </xf>
    <xf numFmtId="0" fontId="10" fillId="0" borderId="0" xfId="56" applyFont="1" applyFill="1" applyAlignment="1">
      <alignment horizontal="center"/>
      <protection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vertical="justify"/>
    </xf>
    <xf numFmtId="0" fontId="5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1" fontId="17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3" fontId="5" fillId="0" borderId="0" xfId="42" applyFont="1" applyAlignment="1">
      <alignment horizontal="left" vertical="center"/>
    </xf>
    <xf numFmtId="43" fontId="5" fillId="0" borderId="0" xfId="42" applyFont="1" applyFill="1" applyAlignment="1">
      <alignment horizontal="right"/>
    </xf>
    <xf numFmtId="43" fontId="5" fillId="0" borderId="0" xfId="42" applyFont="1" applyFill="1" applyAlignment="1">
      <alignment/>
    </xf>
    <xf numFmtId="43" fontId="5" fillId="0" borderId="0" xfId="42" applyFont="1" applyFill="1" applyAlignment="1">
      <alignment horizontal="center" vertical="center"/>
    </xf>
    <xf numFmtId="43" fontId="5" fillId="0" borderId="0" xfId="42" applyFont="1" applyAlignment="1">
      <alignment/>
    </xf>
    <xf numFmtId="43" fontId="5" fillId="0" borderId="0" xfId="42" applyFont="1" applyFill="1" applyBorder="1" applyAlignment="1">
      <alignment vertical="center"/>
    </xf>
    <xf numFmtId="43" fontId="20" fillId="0" borderId="0" xfId="56" applyNumberFormat="1" applyFont="1" applyFill="1">
      <alignment/>
      <protection/>
    </xf>
    <xf numFmtId="19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vertical="center"/>
    </xf>
    <xf numFmtId="43" fontId="12" fillId="0" borderId="0" xfId="42" applyFont="1" applyFill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78" fillId="0" borderId="0" xfId="56" applyFont="1" applyFill="1" applyAlignment="1">
      <alignment/>
      <protection/>
    </xf>
    <xf numFmtId="0" fontId="77" fillId="0" borderId="0" xfId="56" applyFont="1" applyFill="1" applyAlignment="1">
      <alignment horizontal="center"/>
      <protection/>
    </xf>
    <xf numFmtId="4" fontId="79" fillId="0" borderId="10" xfId="56" applyNumberFormat="1" applyFont="1" applyFill="1" applyBorder="1" applyAlignment="1">
      <alignment vertical="center"/>
      <protection/>
    </xf>
    <xf numFmtId="0" fontId="77" fillId="0" borderId="0" xfId="56" applyFont="1" applyFill="1">
      <alignment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43" fontId="20" fillId="0" borderId="0" xfId="42" applyFont="1" applyFill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80" fillId="0" borderId="0" xfId="56" applyFont="1" applyFill="1">
      <alignment/>
      <protection/>
    </xf>
    <xf numFmtId="0" fontId="10" fillId="0" borderId="10" xfId="0" applyFont="1" applyFill="1" applyBorder="1" applyAlignment="1">
      <alignment horizontal="center" vertical="center"/>
    </xf>
    <xf numFmtId="0" fontId="27" fillId="0" borderId="0" xfId="56" applyFont="1" applyFill="1">
      <alignment/>
      <protection/>
    </xf>
    <xf numFmtId="0" fontId="10" fillId="0" borderId="0" xfId="56" applyFont="1" applyFill="1" applyAlignment="1">
      <alignment/>
      <protection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3" fontId="5" fillId="0" borderId="0" xfId="42" applyFont="1" applyFill="1" applyAlignment="1">
      <alignment vertical="center"/>
    </xf>
    <xf numFmtId="43" fontId="5" fillId="0" borderId="10" xfId="42" applyFont="1" applyFill="1" applyBorder="1" applyAlignment="1">
      <alignment horizontal="right"/>
    </xf>
    <xf numFmtId="43" fontId="4" fillId="0" borderId="0" xfId="42" applyFont="1" applyFill="1" applyAlignment="1">
      <alignment vertical="center"/>
    </xf>
    <xf numFmtId="43" fontId="11" fillId="0" borderId="10" xfId="42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left" vertical="center"/>
    </xf>
    <xf numFmtId="43" fontId="5" fillId="0" borderId="10" xfId="42" applyFont="1" applyFill="1" applyBorder="1" applyAlignment="1">
      <alignment horizontal="right" vertical="center"/>
    </xf>
    <xf numFmtId="43" fontId="11" fillId="0" borderId="11" xfId="42" applyFont="1" applyFill="1" applyBorder="1" applyAlignment="1">
      <alignment horizontal="right"/>
    </xf>
    <xf numFmtId="43" fontId="12" fillId="0" borderId="10" xfId="42" applyFont="1" applyFill="1" applyBorder="1" applyAlignment="1">
      <alignment vertical="center"/>
    </xf>
    <xf numFmtId="43" fontId="12" fillId="0" borderId="14" xfId="42" applyFont="1" applyFill="1" applyBorder="1" applyAlignment="1">
      <alignment vertical="center"/>
    </xf>
    <xf numFmtId="43" fontId="12" fillId="0" borderId="14" xfId="42" applyFont="1" applyFill="1" applyBorder="1" applyAlignment="1">
      <alignment vertical="justify"/>
    </xf>
    <xf numFmtId="43" fontId="11" fillId="0" borderId="12" xfId="42" applyFont="1" applyFill="1" applyBorder="1" applyAlignment="1">
      <alignment horizontal="right" vertical="center"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3" fontId="12" fillId="0" borderId="14" xfId="0" applyNumberFormat="1" applyFont="1" applyFill="1" applyBorder="1" applyAlignment="1">
      <alignment vertical="center"/>
    </xf>
    <xf numFmtId="43" fontId="20" fillId="0" borderId="0" xfId="42" applyFont="1" applyFill="1" applyAlignment="1">
      <alignment/>
    </xf>
    <xf numFmtId="43" fontId="5" fillId="0" borderId="0" xfId="0" applyNumberFormat="1" applyFont="1" applyFill="1" applyAlignment="1">
      <alignment/>
    </xf>
    <xf numFmtId="0" fontId="20" fillId="0" borderId="10" xfId="0" applyFont="1" applyFill="1" applyBorder="1" applyAlignment="1" quotePrefix="1">
      <alignment horizontal="center" vertical="center" wrapText="1"/>
    </xf>
    <xf numFmtId="43" fontId="5" fillId="0" borderId="10" xfId="42" applyFont="1" applyFill="1" applyBorder="1" applyAlignment="1">
      <alignment vertical="center"/>
    </xf>
    <xf numFmtId="43" fontId="5" fillId="0" borderId="14" xfId="42" applyFont="1" applyFill="1" applyBorder="1" applyAlignment="1">
      <alignment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0" xfId="56" applyFont="1" applyFill="1">
      <alignment/>
      <protection/>
    </xf>
    <xf numFmtId="43" fontId="80" fillId="0" borderId="0" xfId="42" applyFont="1" applyFill="1" applyAlignment="1">
      <alignment/>
    </xf>
    <xf numFmtId="43" fontId="21" fillId="0" borderId="0" xfId="42" applyFont="1" applyFill="1" applyAlignment="1">
      <alignment/>
    </xf>
    <xf numFmtId="0" fontId="31" fillId="0" borderId="0" xfId="55" applyFont="1" applyFill="1">
      <alignment/>
      <protection/>
    </xf>
    <xf numFmtId="0" fontId="32" fillId="0" borderId="0" xfId="0" applyFont="1" applyFill="1" applyAlignment="1">
      <alignment/>
    </xf>
    <xf numFmtId="0" fontId="5" fillId="0" borderId="0" xfId="55" applyFont="1" applyFill="1" applyAlignment="1">
      <alignment horizontal="left"/>
      <protection/>
    </xf>
    <xf numFmtId="0" fontId="5" fillId="0" borderId="14" xfId="0" applyFont="1" applyBorder="1" applyAlignment="1">
      <alignment/>
    </xf>
    <xf numFmtId="43" fontId="5" fillId="0" borderId="14" xfId="42" applyFont="1" applyBorder="1" applyAlignment="1">
      <alignment/>
    </xf>
    <xf numFmtId="0" fontId="81" fillId="0" borderId="0" xfId="0" applyFont="1" applyAlignment="1">
      <alignment/>
    </xf>
    <xf numFmtId="43" fontId="5" fillId="0" borderId="14" xfId="42" applyFont="1" applyFill="1" applyBorder="1" applyAlignment="1">
      <alignment/>
    </xf>
    <xf numFmtId="0" fontId="22" fillId="0" borderId="0" xfId="56" applyFont="1" applyFill="1">
      <alignment/>
      <protection/>
    </xf>
    <xf numFmtId="0" fontId="10" fillId="0" borderId="16" xfId="0" applyFont="1" applyFill="1" applyBorder="1" applyAlignment="1">
      <alignment horizontal="center" vertical="center"/>
    </xf>
    <xf numFmtId="43" fontId="5" fillId="0" borderId="14" xfId="42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33" fillId="0" borderId="10" xfId="56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43" fontId="11" fillId="0" borderId="0" xfId="42" applyFont="1" applyFill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43" fontId="12" fillId="0" borderId="0" xfId="42" applyFont="1" applyFill="1" applyAlignment="1">
      <alignment horizontal="center" vertical="center"/>
    </xf>
    <xf numFmtId="40" fontId="11" fillId="0" borderId="0" xfId="0" applyNumberFormat="1" applyFont="1" applyFill="1" applyAlignment="1">
      <alignment vertical="center"/>
    </xf>
    <xf numFmtId="40" fontId="11" fillId="0" borderId="0" xfId="42" applyNumberFormat="1" applyFont="1" applyFill="1" applyAlignment="1">
      <alignment vertical="center"/>
    </xf>
    <xf numFmtId="40" fontId="11" fillId="0" borderId="0" xfId="0" applyNumberFormat="1" applyFont="1" applyFill="1" applyAlignment="1">
      <alignment horizontal="left" vertical="center"/>
    </xf>
    <xf numFmtId="40" fontId="11" fillId="0" borderId="0" xfId="42" applyNumberFormat="1" applyFont="1" applyFill="1" applyAlignment="1">
      <alignment horizontal="lef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11" fillId="0" borderId="10" xfId="42" applyNumberFormat="1" applyFont="1" applyFill="1" applyBorder="1" applyAlignment="1">
      <alignment horizontal="center" vertical="center" wrapText="1"/>
    </xf>
    <xf numFmtId="40" fontId="12" fillId="0" borderId="10" xfId="0" applyNumberFormat="1" applyFont="1" applyFill="1" applyBorder="1" applyAlignment="1">
      <alignment horizontal="center" vertical="center"/>
    </xf>
    <xf numFmtId="40" fontId="12" fillId="0" borderId="10" xfId="42" applyNumberFormat="1" applyFont="1" applyFill="1" applyBorder="1" applyAlignment="1">
      <alignment horizontal="center" vertical="center"/>
    </xf>
    <xf numFmtId="40" fontId="12" fillId="0" borderId="10" xfId="0" applyNumberFormat="1" applyFont="1" applyFill="1" applyBorder="1" applyAlignment="1">
      <alignment horizontal="center"/>
    </xf>
    <xf numFmtId="40" fontId="12" fillId="0" borderId="10" xfId="42" applyNumberFormat="1" applyFont="1" applyFill="1" applyBorder="1" applyAlignment="1">
      <alignment horizontal="right" vertical="center"/>
    </xf>
    <xf numFmtId="40" fontId="12" fillId="0" borderId="12" xfId="0" applyNumberFormat="1" applyFont="1" applyFill="1" applyBorder="1" applyAlignment="1">
      <alignment vertical="center"/>
    </xf>
    <xf numFmtId="40" fontId="12" fillId="0" borderId="12" xfId="42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vertical="center"/>
    </xf>
    <xf numFmtId="40" fontId="12" fillId="0" borderId="0" xfId="42" applyNumberFormat="1" applyFont="1" applyFill="1" applyAlignment="1">
      <alignment vertical="center"/>
    </xf>
    <xf numFmtId="38" fontId="11" fillId="0" borderId="0" xfId="42" applyNumberFormat="1" applyFont="1" applyFill="1" applyAlignment="1">
      <alignment vertical="center"/>
    </xf>
    <xf numFmtId="38" fontId="11" fillId="0" borderId="10" xfId="42" applyNumberFormat="1" applyFont="1" applyFill="1" applyBorder="1" applyAlignment="1">
      <alignment horizontal="center" vertical="center" wrapText="1"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10" xfId="42" applyNumberFormat="1" applyFont="1" applyFill="1" applyBorder="1" applyAlignment="1">
      <alignment horizontal="center"/>
    </xf>
    <xf numFmtId="38" fontId="12" fillId="0" borderId="12" xfId="42" applyNumberFormat="1" applyFont="1" applyFill="1" applyBorder="1" applyAlignment="1">
      <alignment vertical="center"/>
    </xf>
    <xf numFmtId="38" fontId="12" fillId="0" borderId="0" xfId="42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0" fontId="5" fillId="0" borderId="10" xfId="0" applyNumberFormat="1" applyFont="1" applyFill="1" applyBorder="1" applyAlignment="1">
      <alignment vertical="center"/>
    </xf>
    <xf numFmtId="40" fontId="5" fillId="0" borderId="14" xfId="0" applyNumberFormat="1" applyFont="1" applyFill="1" applyBorder="1" applyAlignment="1">
      <alignment vertical="center"/>
    </xf>
    <xf numFmtId="40" fontId="5" fillId="0" borderId="12" xfId="0" applyNumberFormat="1" applyFont="1" applyFill="1" applyBorder="1" applyAlignment="1">
      <alignment vertical="center"/>
    </xf>
    <xf numFmtId="40" fontId="15" fillId="0" borderId="10" xfId="0" applyNumberFormat="1" applyFont="1" applyFill="1" applyBorder="1" applyAlignment="1">
      <alignment horizontal="right" vertical="center"/>
    </xf>
    <xf numFmtId="40" fontId="15" fillId="0" borderId="1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/>
    </xf>
    <xf numFmtId="180" fontId="12" fillId="0" borderId="10" xfId="42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vertical="justify"/>
    </xf>
    <xf numFmtId="43" fontId="11" fillId="0" borderId="17" xfId="42" applyFont="1" applyFill="1" applyBorder="1" applyAlignment="1">
      <alignment horizontal="center" vertical="center" wrapText="1"/>
    </xf>
    <xf numFmtId="43" fontId="11" fillId="0" borderId="11" xfId="42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right" vertical="center"/>
    </xf>
    <xf numFmtId="180" fontId="11" fillId="0" borderId="10" xfId="42" applyNumberFormat="1" applyFont="1" applyFill="1" applyBorder="1" applyAlignment="1">
      <alignment horizontal="center" vertical="center" wrapText="1"/>
    </xf>
    <xf numFmtId="180" fontId="11" fillId="0" borderId="0" xfId="42" applyNumberFormat="1" applyFont="1" applyFill="1" applyAlignment="1">
      <alignment horizontal="right" vertical="center"/>
    </xf>
    <xf numFmtId="180" fontId="11" fillId="0" borderId="11" xfId="42" applyNumberFormat="1" applyFont="1" applyFill="1" applyBorder="1" applyAlignment="1">
      <alignment horizontal="right" vertical="center"/>
    </xf>
    <xf numFmtId="180" fontId="11" fillId="0" borderId="11" xfId="42" applyNumberFormat="1" applyFont="1" applyFill="1" applyBorder="1" applyAlignment="1">
      <alignment horizontal="right"/>
    </xf>
    <xf numFmtId="180" fontId="12" fillId="0" borderId="10" xfId="42" applyNumberFormat="1" applyFont="1" applyFill="1" applyBorder="1" applyAlignment="1">
      <alignment horizontal="right"/>
    </xf>
    <xf numFmtId="180" fontId="12" fillId="0" borderId="14" xfId="42" applyNumberFormat="1" applyFont="1" applyFill="1" applyBorder="1" applyAlignment="1">
      <alignment horizontal="right"/>
    </xf>
    <xf numFmtId="180" fontId="12" fillId="0" borderId="14" xfId="42" applyNumberFormat="1" applyFont="1" applyFill="1" applyBorder="1" applyAlignment="1">
      <alignment horizontal="right" vertical="justify"/>
    </xf>
    <xf numFmtId="180" fontId="11" fillId="0" borderId="12" xfId="42" applyNumberFormat="1" applyFont="1" applyFill="1" applyBorder="1" applyAlignment="1">
      <alignment horizontal="right" vertical="center"/>
    </xf>
    <xf numFmtId="180" fontId="12" fillId="0" borderId="0" xfId="42" applyNumberFormat="1" applyFont="1" applyFill="1" applyAlignment="1">
      <alignment horizontal="right" vertical="center"/>
    </xf>
    <xf numFmtId="0" fontId="12" fillId="0" borderId="11" xfId="0" applyFont="1" applyFill="1" applyBorder="1" applyAlignment="1">
      <alignment vertical="top"/>
    </xf>
    <xf numFmtId="40" fontId="12" fillId="0" borderId="14" xfId="0" applyNumberFormat="1" applyFont="1" applyFill="1" applyBorder="1" applyAlignment="1">
      <alignment horizontal="center" vertical="center" wrapText="1"/>
    </xf>
    <xf numFmtId="38" fontId="12" fillId="0" borderId="14" xfId="42" applyNumberFormat="1" applyFont="1" applyFill="1" applyBorder="1" applyAlignment="1">
      <alignment horizontal="center"/>
    </xf>
    <xf numFmtId="40" fontId="12" fillId="0" borderId="14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top"/>
    </xf>
    <xf numFmtId="38" fontId="12" fillId="0" borderId="14" xfId="42" applyNumberFormat="1" applyFont="1" applyFill="1" applyBorder="1" applyAlignment="1">
      <alignment horizontal="center" vertical="top"/>
    </xf>
    <xf numFmtId="40" fontId="12" fillId="0" borderId="14" xfId="0" applyNumberFormat="1" applyFont="1" applyFill="1" applyBorder="1" applyAlignment="1">
      <alignment horizontal="center" wrapText="1"/>
    </xf>
    <xf numFmtId="43" fontId="12" fillId="0" borderId="14" xfId="42" applyFont="1" applyFill="1" applyBorder="1" applyAlignment="1">
      <alignment horizontal="center" vertical="center"/>
    </xf>
    <xf numFmtId="40" fontId="5" fillId="0" borderId="10" xfId="42" applyNumberFormat="1" applyFont="1" applyFill="1" applyBorder="1" applyAlignment="1">
      <alignment vertical="center"/>
    </xf>
    <xf numFmtId="40" fontId="12" fillId="0" borderId="14" xfId="0" applyNumberFormat="1" applyFont="1" applyFill="1" applyBorder="1" applyAlignment="1">
      <alignment horizontal="center" vertical="center"/>
    </xf>
    <xf numFmtId="40" fontId="12" fillId="0" borderId="14" xfId="42" applyNumberFormat="1" applyFont="1" applyFill="1" applyBorder="1" applyAlignment="1">
      <alignment horizontal="center" vertical="center"/>
    </xf>
    <xf numFmtId="40" fontId="4" fillId="0" borderId="12" xfId="0" applyNumberFormat="1" applyFont="1" applyFill="1" applyBorder="1" applyAlignment="1">
      <alignment vertical="center"/>
    </xf>
    <xf numFmtId="43" fontId="15" fillId="0" borderId="14" xfId="42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/>
    </xf>
    <xf numFmtId="0" fontId="9" fillId="0" borderId="11" xfId="56" applyFont="1" applyFill="1" applyBorder="1" applyAlignment="1">
      <alignment horizontal="left" vertical="center"/>
      <protection/>
    </xf>
    <xf numFmtId="43" fontId="5" fillId="0" borderId="0" xfId="0" applyNumberFormat="1" applyFont="1" applyAlignment="1">
      <alignment horizontal="left" vertical="center"/>
    </xf>
    <xf numFmtId="0" fontId="10" fillId="0" borderId="10" xfId="56" applyFont="1" applyFill="1" applyBorder="1" applyAlignment="1">
      <alignment horizontal="center" vertical="top" wrapText="1"/>
      <protection/>
    </xf>
    <xf numFmtId="0" fontId="5" fillId="0" borderId="0" xfId="55" applyFont="1" applyAlignment="1">
      <alignment vertical="top" wrapText="1"/>
      <protection/>
    </xf>
    <xf numFmtId="4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40" fontId="17" fillId="0" borderId="10" xfId="0" applyNumberFormat="1" applyFont="1" applyBorder="1" applyAlignment="1">
      <alignment horizontal="center" vertical="center"/>
    </xf>
    <xf numFmtId="40" fontId="15" fillId="0" borderId="10" xfId="0" applyNumberFormat="1" applyFont="1" applyBorder="1" applyAlignment="1">
      <alignment horizontal="right" vertical="center"/>
    </xf>
    <xf numFmtId="40" fontId="17" fillId="0" borderId="14" xfId="42" applyNumberFormat="1" applyFont="1" applyBorder="1" applyAlignment="1">
      <alignment horizontal="center" vertical="center"/>
    </xf>
    <xf numFmtId="40" fontId="15" fillId="0" borderId="12" xfId="0" applyNumberFormat="1" applyFont="1" applyBorder="1" applyAlignment="1">
      <alignment vertical="center"/>
    </xf>
    <xf numFmtId="43" fontId="21" fillId="0" borderId="10" xfId="42" applyFont="1" applyFill="1" applyBorder="1" applyAlignment="1">
      <alignment vertical="center" wrapText="1"/>
    </xf>
    <xf numFmtId="43" fontId="28" fillId="0" borderId="10" xfId="42" applyFont="1" applyFill="1" applyBorder="1" applyAlignment="1">
      <alignment vertical="center"/>
    </xf>
    <xf numFmtId="43" fontId="22" fillId="0" borderId="10" xfId="42" applyFont="1" applyFill="1" applyBorder="1" applyAlignment="1">
      <alignment/>
    </xf>
    <xf numFmtId="43" fontId="28" fillId="0" borderId="10" xfId="42" applyFont="1" applyFill="1" applyBorder="1" applyAlignment="1">
      <alignment/>
    </xf>
    <xf numFmtId="43" fontId="22" fillId="0" borderId="10" xfId="42" applyFont="1" applyFill="1" applyBorder="1" applyAlignment="1">
      <alignment vertical="center"/>
    </xf>
    <xf numFmtId="43" fontId="20" fillId="0" borderId="10" xfId="42" applyFont="1" applyFill="1" applyBorder="1" applyAlignment="1">
      <alignment/>
    </xf>
    <xf numFmtId="43" fontId="20" fillId="0" borderId="10" xfId="42" applyFont="1" applyFill="1" applyBorder="1" applyAlignment="1">
      <alignment vertical="center" wrapText="1"/>
    </xf>
    <xf numFmtId="43" fontId="20" fillId="0" borderId="10" xfId="42" applyFont="1" applyFill="1" applyBorder="1" applyAlignment="1">
      <alignment vertical="center"/>
    </xf>
    <xf numFmtId="43" fontId="20" fillId="0" borderId="10" xfId="42" applyFont="1" applyFill="1" applyBorder="1" applyAlignment="1">
      <alignment horizontal="center"/>
    </xf>
    <xf numFmtId="43" fontId="21" fillId="0" borderId="10" xfId="42" applyFont="1" applyFill="1" applyBorder="1" applyAlignment="1">
      <alignment vertical="center"/>
    </xf>
    <xf numFmtId="43" fontId="20" fillId="0" borderId="11" xfId="42" applyFont="1" applyFill="1" applyBorder="1" applyAlignment="1">
      <alignment vertical="center" wrapText="1"/>
    </xf>
    <xf numFmtId="43" fontId="22" fillId="0" borderId="11" xfId="42" applyFont="1" applyFill="1" applyBorder="1" applyAlignment="1">
      <alignment vertical="center"/>
    </xf>
    <xf numFmtId="43" fontId="27" fillId="0" borderId="10" xfId="42" applyFont="1" applyFill="1" applyBorder="1" applyAlignment="1">
      <alignment vertical="center" wrapText="1"/>
    </xf>
    <xf numFmtId="43" fontId="22" fillId="0" borderId="12" xfId="42" applyFont="1" applyFill="1" applyBorder="1" applyAlignment="1">
      <alignment vertical="center"/>
    </xf>
    <xf numFmtId="43" fontId="27" fillId="0" borderId="10" xfId="42" applyFont="1" applyFill="1" applyBorder="1" applyAlignment="1">
      <alignment vertical="center"/>
    </xf>
    <xf numFmtId="43" fontId="10" fillId="0" borderId="10" xfId="42" applyFont="1" applyFill="1" applyBorder="1" applyAlignment="1">
      <alignment vertical="center" wrapText="1"/>
    </xf>
    <xf numFmtId="43" fontId="10" fillId="0" borderId="10" xfId="42" applyFont="1" applyFill="1" applyBorder="1" applyAlignment="1">
      <alignment vertical="center"/>
    </xf>
    <xf numFmtId="43" fontId="27" fillId="0" borderId="11" xfId="42" applyFont="1" applyFill="1" applyBorder="1" applyAlignment="1">
      <alignment vertical="center" wrapText="1"/>
    </xf>
    <xf numFmtId="43" fontId="30" fillId="0" borderId="11" xfId="42" applyFont="1" applyFill="1" applyBorder="1" applyAlignment="1">
      <alignment vertical="center"/>
    </xf>
    <xf numFmtId="43" fontId="30" fillId="0" borderId="12" xfId="42" applyFont="1" applyFill="1" applyBorder="1" applyAlignment="1">
      <alignment vertical="center"/>
    </xf>
    <xf numFmtId="38" fontId="12" fillId="0" borderId="14" xfId="42" applyNumberFormat="1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/>
    </xf>
    <xf numFmtId="38" fontId="12" fillId="0" borderId="14" xfId="0" applyNumberFormat="1" applyFont="1" applyFill="1" applyBorder="1" applyAlignment="1">
      <alignment horizontal="center" vertical="center"/>
    </xf>
    <xf numFmtId="40" fontId="12" fillId="0" borderId="10" xfId="42" applyNumberFormat="1" applyFont="1" applyFill="1" applyBorder="1" applyAlignment="1">
      <alignment vertical="center"/>
    </xf>
    <xf numFmtId="40" fontId="12" fillId="0" borderId="14" xfId="42" applyNumberFormat="1" applyFont="1" applyFill="1" applyBorder="1" applyAlignment="1">
      <alignment vertical="center"/>
    </xf>
    <xf numFmtId="40" fontId="12" fillId="0" borderId="14" xfId="42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38" fontId="12" fillId="0" borderId="14" xfId="4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180" fontId="12" fillId="0" borderId="14" xfId="42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top"/>
    </xf>
    <xf numFmtId="43" fontId="77" fillId="0" borderId="0" xfId="42" applyFont="1" applyFill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80" fontId="12" fillId="0" borderId="14" xfId="42" applyNumberFormat="1" applyFont="1" applyFill="1" applyBorder="1" applyAlignment="1">
      <alignment horizontal="right" vertical="center"/>
    </xf>
    <xf numFmtId="43" fontId="11" fillId="0" borderId="0" xfId="42" applyFont="1" applyFill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left"/>
    </xf>
    <xf numFmtId="40" fontId="12" fillId="13" borderId="10" xfId="0" applyNumberFormat="1" applyFont="1" applyFill="1" applyBorder="1" applyAlignment="1">
      <alignment horizontal="right" vertical="center"/>
    </xf>
    <xf numFmtId="38" fontId="12" fillId="13" borderId="10" xfId="42" applyNumberFormat="1" applyFont="1" applyFill="1" applyBorder="1" applyAlignment="1">
      <alignment horizontal="center" vertical="center"/>
    </xf>
    <xf numFmtId="40" fontId="12" fillId="13" borderId="10" xfId="0" applyNumberFormat="1" applyFont="1" applyFill="1" applyBorder="1" applyAlignment="1">
      <alignment horizontal="center" vertical="center"/>
    </xf>
    <xf numFmtId="40" fontId="12" fillId="13" borderId="10" xfId="42" applyNumberFormat="1" applyFont="1" applyFill="1" applyBorder="1" applyAlignment="1">
      <alignment horizontal="right" vertical="center"/>
    </xf>
    <xf numFmtId="0" fontId="12" fillId="13" borderId="0" xfId="0" applyFont="1" applyFill="1" applyAlignment="1">
      <alignment horizontal="center" vertical="center"/>
    </xf>
    <xf numFmtId="43" fontId="12" fillId="13" borderId="0" xfId="42" applyFont="1" applyFill="1" applyAlignment="1">
      <alignment horizontal="center" vertical="center"/>
    </xf>
    <xf numFmtId="43" fontId="12" fillId="13" borderId="0" xfId="0" applyNumberFormat="1" applyFont="1" applyFill="1" applyAlignment="1">
      <alignment vertical="center"/>
    </xf>
    <xf numFmtId="0" fontId="12" fillId="13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/>
    </xf>
    <xf numFmtId="40" fontId="12" fillId="33" borderId="10" xfId="0" applyNumberFormat="1" applyFont="1" applyFill="1" applyBorder="1" applyAlignment="1">
      <alignment horizontal="right" vertical="center"/>
    </xf>
    <xf numFmtId="38" fontId="12" fillId="33" borderId="10" xfId="42" applyNumberFormat="1" applyFont="1" applyFill="1" applyBorder="1" applyAlignment="1">
      <alignment horizontal="center" vertical="center"/>
    </xf>
    <xf numFmtId="40" fontId="12" fillId="33" borderId="10" xfId="0" applyNumberFormat="1" applyFont="1" applyFill="1" applyBorder="1" applyAlignment="1">
      <alignment horizontal="center" vertical="center"/>
    </xf>
    <xf numFmtId="40" fontId="12" fillId="33" borderId="10" xfId="42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43" fontId="12" fillId="33" borderId="0" xfId="42" applyFont="1" applyFill="1" applyAlignment="1">
      <alignment horizontal="center" vertical="center"/>
    </xf>
    <xf numFmtId="43" fontId="12" fillId="33" borderId="0" xfId="0" applyNumberFormat="1" applyFont="1" applyFill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left" vertical="center"/>
    </xf>
    <xf numFmtId="40" fontId="12" fillId="34" borderId="10" xfId="0" applyNumberFormat="1" applyFont="1" applyFill="1" applyBorder="1" applyAlignment="1">
      <alignment horizontal="right" vertical="center"/>
    </xf>
    <xf numFmtId="38" fontId="12" fillId="34" borderId="10" xfId="42" applyNumberFormat="1" applyFont="1" applyFill="1" applyBorder="1" applyAlignment="1">
      <alignment horizontal="center" vertical="center"/>
    </xf>
    <xf numFmtId="40" fontId="12" fillId="34" borderId="10" xfId="0" applyNumberFormat="1" applyFont="1" applyFill="1" applyBorder="1" applyAlignment="1">
      <alignment horizontal="center" vertical="center"/>
    </xf>
    <xf numFmtId="40" fontId="12" fillId="34" borderId="10" xfId="42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horizontal="center" vertical="center"/>
    </xf>
    <xf numFmtId="43" fontId="12" fillId="34" borderId="0" xfId="42" applyFont="1" applyFill="1" applyAlignment="1">
      <alignment horizontal="center" vertical="center"/>
    </xf>
    <xf numFmtId="43" fontId="12" fillId="34" borderId="0" xfId="0" applyNumberFormat="1" applyFont="1" applyFill="1" applyAlignment="1">
      <alignment vertical="center"/>
    </xf>
    <xf numFmtId="0" fontId="12" fillId="12" borderId="11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left" vertical="center"/>
    </xf>
    <xf numFmtId="40" fontId="12" fillId="12" borderId="10" xfId="0" applyNumberFormat="1" applyFont="1" applyFill="1" applyBorder="1" applyAlignment="1">
      <alignment horizontal="right" vertical="center"/>
    </xf>
    <xf numFmtId="38" fontId="12" fillId="12" borderId="10" xfId="42" applyNumberFormat="1" applyFont="1" applyFill="1" applyBorder="1" applyAlignment="1">
      <alignment horizontal="center" vertical="center"/>
    </xf>
    <xf numFmtId="40" fontId="12" fillId="12" borderId="10" xfId="0" applyNumberFormat="1" applyFont="1" applyFill="1" applyBorder="1" applyAlignment="1">
      <alignment horizontal="center" vertical="center"/>
    </xf>
    <xf numFmtId="40" fontId="12" fillId="12" borderId="10" xfId="42" applyNumberFormat="1" applyFont="1" applyFill="1" applyBorder="1" applyAlignment="1">
      <alignment horizontal="right" vertical="center"/>
    </xf>
    <xf numFmtId="0" fontId="12" fillId="12" borderId="0" xfId="0" applyFont="1" applyFill="1" applyAlignment="1">
      <alignment horizontal="center" vertical="center"/>
    </xf>
    <xf numFmtId="43" fontId="12" fillId="12" borderId="0" xfId="42" applyFont="1" applyFill="1" applyAlignment="1">
      <alignment horizontal="center" vertical="center"/>
    </xf>
    <xf numFmtId="43" fontId="12" fillId="12" borderId="0" xfId="0" applyNumberFormat="1" applyFont="1" applyFill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left" vertical="center"/>
    </xf>
    <xf numFmtId="40" fontId="12" fillId="35" borderId="10" xfId="0" applyNumberFormat="1" applyFont="1" applyFill="1" applyBorder="1" applyAlignment="1">
      <alignment horizontal="right" vertical="center"/>
    </xf>
    <xf numFmtId="38" fontId="12" fillId="35" borderId="10" xfId="42" applyNumberFormat="1" applyFont="1" applyFill="1" applyBorder="1" applyAlignment="1">
      <alignment horizontal="center" vertical="center"/>
    </xf>
    <xf numFmtId="40" fontId="12" fillId="35" borderId="10" xfId="0" applyNumberFormat="1" applyFont="1" applyFill="1" applyBorder="1" applyAlignment="1">
      <alignment horizontal="center" vertical="center"/>
    </xf>
    <xf numFmtId="40" fontId="12" fillId="35" borderId="10" xfId="42" applyNumberFormat="1" applyFont="1" applyFill="1" applyBorder="1" applyAlignment="1">
      <alignment horizontal="right" vertical="center"/>
    </xf>
    <xf numFmtId="0" fontId="12" fillId="35" borderId="0" xfId="0" applyFont="1" applyFill="1" applyAlignment="1">
      <alignment horizontal="center" vertical="center"/>
    </xf>
    <xf numFmtId="43" fontId="12" fillId="35" borderId="0" xfId="42" applyFont="1" applyFill="1" applyAlignment="1">
      <alignment horizontal="center" vertical="center"/>
    </xf>
    <xf numFmtId="43" fontId="12" fillId="35" borderId="0" xfId="0" applyNumberFormat="1" applyFont="1" applyFill="1" applyAlignment="1">
      <alignment vertical="center"/>
    </xf>
    <xf numFmtId="43" fontId="12" fillId="36" borderId="0" xfId="42" applyFont="1" applyFill="1" applyAlignment="1">
      <alignment horizontal="center" vertical="center"/>
    </xf>
    <xf numFmtId="0" fontId="12" fillId="35" borderId="17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left"/>
    </xf>
    <xf numFmtId="40" fontId="12" fillId="36" borderId="10" xfId="0" applyNumberFormat="1" applyFont="1" applyFill="1" applyBorder="1" applyAlignment="1">
      <alignment horizontal="right" vertical="center"/>
    </xf>
    <xf numFmtId="38" fontId="12" fillId="36" borderId="10" xfId="42" applyNumberFormat="1" applyFont="1" applyFill="1" applyBorder="1" applyAlignment="1">
      <alignment horizontal="center" vertical="center"/>
    </xf>
    <xf numFmtId="40" fontId="12" fillId="36" borderId="10" xfId="0" applyNumberFormat="1" applyFont="1" applyFill="1" applyBorder="1" applyAlignment="1">
      <alignment horizontal="center" vertical="center"/>
    </xf>
    <xf numFmtId="40" fontId="12" fillId="36" borderId="10" xfId="42" applyNumberFormat="1" applyFont="1" applyFill="1" applyBorder="1" applyAlignment="1">
      <alignment horizontal="right" vertical="center"/>
    </xf>
    <xf numFmtId="0" fontId="12" fillId="36" borderId="0" xfId="0" applyFont="1" applyFill="1" applyAlignment="1">
      <alignment horizontal="center" vertical="center"/>
    </xf>
    <xf numFmtId="43" fontId="12" fillId="36" borderId="0" xfId="0" applyNumberFormat="1" applyFont="1" applyFill="1" applyAlignment="1">
      <alignment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left"/>
    </xf>
    <xf numFmtId="40" fontId="12" fillId="37" borderId="10" xfId="0" applyNumberFormat="1" applyFont="1" applyFill="1" applyBorder="1" applyAlignment="1">
      <alignment horizontal="right" vertical="center"/>
    </xf>
    <xf numFmtId="38" fontId="12" fillId="37" borderId="10" xfId="42" applyNumberFormat="1" applyFont="1" applyFill="1" applyBorder="1" applyAlignment="1">
      <alignment horizontal="center" vertical="center"/>
    </xf>
    <xf numFmtId="40" fontId="12" fillId="37" borderId="10" xfId="0" applyNumberFormat="1" applyFont="1" applyFill="1" applyBorder="1" applyAlignment="1">
      <alignment horizontal="center" vertical="center"/>
    </xf>
    <xf numFmtId="40" fontId="12" fillId="37" borderId="10" xfId="42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/>
    </xf>
    <xf numFmtId="43" fontId="12" fillId="37" borderId="0" xfId="42" applyFont="1" applyFill="1" applyAlignment="1">
      <alignment horizontal="center" vertical="center"/>
    </xf>
    <xf numFmtId="43" fontId="12" fillId="37" borderId="0" xfId="0" applyNumberFormat="1" applyFont="1" applyFill="1" applyAlignment="1">
      <alignment vertical="center"/>
    </xf>
    <xf numFmtId="40" fontId="12" fillId="0" borderId="10" xfId="0" applyNumberFormat="1" applyFont="1" applyFill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0" fontId="12" fillId="17" borderId="11" xfId="0" applyFont="1" applyFill="1" applyBorder="1" applyAlignment="1">
      <alignment vertical="center"/>
    </xf>
    <xf numFmtId="0" fontId="12" fillId="17" borderId="17" xfId="0" applyFont="1" applyFill="1" applyBorder="1" applyAlignment="1">
      <alignment horizontal="left"/>
    </xf>
    <xf numFmtId="40" fontId="12" fillId="17" borderId="10" xfId="0" applyNumberFormat="1" applyFont="1" applyFill="1" applyBorder="1" applyAlignment="1">
      <alignment vertical="center"/>
    </xf>
    <xf numFmtId="38" fontId="12" fillId="17" borderId="10" xfId="42" applyNumberFormat="1" applyFont="1" applyFill="1" applyBorder="1" applyAlignment="1">
      <alignment horizontal="center"/>
    </xf>
    <xf numFmtId="40" fontId="12" fillId="17" borderId="10" xfId="0" applyNumberFormat="1" applyFont="1" applyFill="1" applyBorder="1" applyAlignment="1">
      <alignment horizontal="center"/>
    </xf>
    <xf numFmtId="40" fontId="12" fillId="17" borderId="10" xfId="42" applyNumberFormat="1" applyFont="1" applyFill="1" applyBorder="1" applyAlignment="1">
      <alignment horizontal="right" vertical="center"/>
    </xf>
    <xf numFmtId="0" fontId="12" fillId="17" borderId="0" xfId="0" applyFont="1" applyFill="1" applyAlignment="1">
      <alignment vertical="center"/>
    </xf>
    <xf numFmtId="43" fontId="12" fillId="17" borderId="0" xfId="42" applyFont="1" applyFill="1" applyAlignment="1">
      <alignment vertical="center"/>
    </xf>
    <xf numFmtId="43" fontId="12" fillId="17" borderId="0" xfId="0" applyNumberFormat="1" applyFont="1" applyFill="1" applyAlignment="1">
      <alignment vertical="center"/>
    </xf>
    <xf numFmtId="0" fontId="12" fillId="38" borderId="11" xfId="0" applyFont="1" applyFill="1" applyBorder="1" applyAlignment="1">
      <alignment vertical="center"/>
    </xf>
    <xf numFmtId="0" fontId="12" fillId="38" borderId="17" xfId="0" applyFont="1" applyFill="1" applyBorder="1" applyAlignment="1">
      <alignment horizontal="left"/>
    </xf>
    <xf numFmtId="40" fontId="12" fillId="38" borderId="10" xfId="0" applyNumberFormat="1" applyFont="1" applyFill="1" applyBorder="1" applyAlignment="1">
      <alignment vertical="center"/>
    </xf>
    <xf numFmtId="38" fontId="12" fillId="38" borderId="10" xfId="42" applyNumberFormat="1" applyFont="1" applyFill="1" applyBorder="1" applyAlignment="1">
      <alignment horizontal="center"/>
    </xf>
    <xf numFmtId="40" fontId="12" fillId="38" borderId="10" xfId="0" applyNumberFormat="1" applyFont="1" applyFill="1" applyBorder="1" applyAlignment="1">
      <alignment horizontal="center"/>
    </xf>
    <xf numFmtId="40" fontId="12" fillId="38" borderId="10" xfId="42" applyNumberFormat="1" applyFont="1" applyFill="1" applyBorder="1" applyAlignment="1">
      <alignment horizontal="right" vertical="center"/>
    </xf>
    <xf numFmtId="0" fontId="12" fillId="38" borderId="0" xfId="0" applyFont="1" applyFill="1" applyAlignment="1">
      <alignment vertical="center"/>
    </xf>
    <xf numFmtId="43" fontId="12" fillId="38" borderId="0" xfId="42" applyFont="1" applyFill="1" applyAlignment="1">
      <alignment vertical="center"/>
    </xf>
    <xf numFmtId="43" fontId="12" fillId="38" borderId="0" xfId="0" applyNumberFormat="1" applyFont="1" applyFill="1" applyAlignment="1">
      <alignment vertical="center"/>
    </xf>
    <xf numFmtId="0" fontId="12" fillId="16" borderId="11" xfId="0" applyFont="1" applyFill="1" applyBorder="1" applyAlignment="1">
      <alignment vertical="center"/>
    </xf>
    <xf numFmtId="0" fontId="12" fillId="16" borderId="17" xfId="0" applyFont="1" applyFill="1" applyBorder="1" applyAlignment="1">
      <alignment horizontal="left"/>
    </xf>
    <xf numFmtId="40" fontId="12" fillId="16" borderId="10" xfId="0" applyNumberFormat="1" applyFont="1" applyFill="1" applyBorder="1" applyAlignment="1">
      <alignment vertical="center"/>
    </xf>
    <xf numFmtId="38" fontId="12" fillId="16" borderId="10" xfId="42" applyNumberFormat="1" applyFont="1" applyFill="1" applyBorder="1" applyAlignment="1">
      <alignment horizontal="center"/>
    </xf>
    <xf numFmtId="40" fontId="12" fillId="16" borderId="10" xfId="0" applyNumberFormat="1" applyFont="1" applyFill="1" applyBorder="1" applyAlignment="1">
      <alignment horizontal="center"/>
    </xf>
    <xf numFmtId="40" fontId="12" fillId="16" borderId="10" xfId="42" applyNumberFormat="1" applyFont="1" applyFill="1" applyBorder="1" applyAlignment="1">
      <alignment horizontal="right" vertical="center"/>
    </xf>
    <xf numFmtId="0" fontId="12" fillId="16" borderId="0" xfId="0" applyFont="1" applyFill="1" applyAlignment="1">
      <alignment vertical="center"/>
    </xf>
    <xf numFmtId="43" fontId="12" fillId="16" borderId="0" xfId="42" applyFont="1" applyFill="1" applyAlignment="1">
      <alignment vertical="center"/>
    </xf>
    <xf numFmtId="43" fontId="12" fillId="16" borderId="0" xfId="0" applyNumberFormat="1" applyFont="1" applyFill="1" applyAlignment="1">
      <alignment vertical="center"/>
    </xf>
    <xf numFmtId="40" fontId="12" fillId="9" borderId="14" xfId="0" applyNumberFormat="1" applyFont="1" applyFill="1" applyBorder="1" applyAlignment="1">
      <alignment horizontal="center" vertical="center" wrapText="1"/>
    </xf>
    <xf numFmtId="40" fontId="12" fillId="9" borderId="10" xfId="42" applyNumberFormat="1" applyFont="1" applyFill="1" applyBorder="1" applyAlignment="1">
      <alignment horizontal="right" vertical="center"/>
    </xf>
    <xf numFmtId="0" fontId="12" fillId="9" borderId="0" xfId="0" applyFont="1" applyFill="1" applyAlignment="1">
      <alignment vertical="center"/>
    </xf>
    <xf numFmtId="43" fontId="12" fillId="9" borderId="0" xfId="42" applyFont="1" applyFill="1" applyAlignment="1">
      <alignment vertical="center"/>
    </xf>
    <xf numFmtId="43" fontId="12" fillId="9" borderId="0" xfId="0" applyNumberFormat="1" applyFont="1" applyFill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7" xfId="0" applyFont="1" applyFill="1" applyBorder="1" applyAlignment="1">
      <alignment horizontal="left"/>
    </xf>
    <xf numFmtId="40" fontId="12" fillId="9" borderId="14" xfId="0" applyNumberFormat="1" applyFont="1" applyFill="1" applyBorder="1" applyAlignment="1">
      <alignment vertical="center"/>
    </xf>
    <xf numFmtId="38" fontId="12" fillId="9" borderId="14" xfId="42" applyNumberFormat="1" applyFont="1" applyFill="1" applyBorder="1" applyAlignment="1">
      <alignment horizontal="center"/>
    </xf>
    <xf numFmtId="40" fontId="12" fillId="9" borderId="14" xfId="0" applyNumberFormat="1" applyFont="1" applyFill="1" applyBorder="1" applyAlignment="1">
      <alignment horizontal="center"/>
    </xf>
    <xf numFmtId="0" fontId="12" fillId="39" borderId="11" xfId="0" applyFont="1" applyFill="1" applyBorder="1" applyAlignment="1">
      <alignment vertical="center"/>
    </xf>
    <xf numFmtId="0" fontId="12" fillId="39" borderId="17" xfId="0" applyFont="1" applyFill="1" applyBorder="1" applyAlignment="1">
      <alignment horizontal="left"/>
    </xf>
    <xf numFmtId="40" fontId="12" fillId="39" borderId="14" xfId="0" applyNumberFormat="1" applyFont="1" applyFill="1" applyBorder="1" applyAlignment="1">
      <alignment vertical="center"/>
    </xf>
    <xf numFmtId="38" fontId="12" fillId="39" borderId="14" xfId="42" applyNumberFormat="1" applyFont="1" applyFill="1" applyBorder="1" applyAlignment="1">
      <alignment horizontal="center"/>
    </xf>
    <xf numFmtId="40" fontId="12" fillId="39" borderId="14" xfId="0" applyNumberFormat="1" applyFont="1" applyFill="1" applyBorder="1" applyAlignment="1">
      <alignment horizontal="center"/>
    </xf>
    <xf numFmtId="40" fontId="12" fillId="39" borderId="10" xfId="42" applyNumberFormat="1" applyFont="1" applyFill="1" applyBorder="1" applyAlignment="1">
      <alignment horizontal="right" vertical="center"/>
    </xf>
    <xf numFmtId="0" fontId="12" fillId="39" borderId="0" xfId="0" applyFont="1" applyFill="1" applyAlignment="1">
      <alignment vertical="center"/>
    </xf>
    <xf numFmtId="43" fontId="12" fillId="39" borderId="0" xfId="42" applyFont="1" applyFill="1" applyAlignment="1">
      <alignment vertical="center"/>
    </xf>
    <xf numFmtId="43" fontId="12" fillId="39" borderId="0" xfId="0" applyNumberFormat="1" applyFont="1" applyFill="1" applyAlignment="1">
      <alignment vertical="center"/>
    </xf>
    <xf numFmtId="0" fontId="12" fillId="37" borderId="11" xfId="0" applyFont="1" applyFill="1" applyBorder="1" applyAlignment="1">
      <alignment vertical="center"/>
    </xf>
    <xf numFmtId="40" fontId="12" fillId="37" borderId="14" xfId="0" applyNumberFormat="1" applyFont="1" applyFill="1" applyBorder="1" applyAlignment="1">
      <alignment vertical="center"/>
    </xf>
    <xf numFmtId="38" fontId="12" fillId="37" borderId="14" xfId="42" applyNumberFormat="1" applyFont="1" applyFill="1" applyBorder="1" applyAlignment="1">
      <alignment horizontal="center"/>
    </xf>
    <xf numFmtId="40" fontId="12" fillId="37" borderId="14" xfId="0" applyNumberFormat="1" applyFont="1" applyFill="1" applyBorder="1" applyAlignment="1">
      <alignment horizontal="center"/>
    </xf>
    <xf numFmtId="0" fontId="12" fillId="37" borderId="0" xfId="0" applyFont="1" applyFill="1" applyAlignment="1">
      <alignment vertical="center"/>
    </xf>
    <xf numFmtId="43" fontId="12" fillId="37" borderId="0" xfId="42" applyFont="1" applyFill="1" applyAlignment="1">
      <alignment vertical="center"/>
    </xf>
    <xf numFmtId="40" fontId="12" fillId="40" borderId="14" xfId="0" applyNumberFormat="1" applyFont="1" applyFill="1" applyBorder="1" applyAlignment="1">
      <alignment horizontal="center" vertical="center" wrapText="1"/>
    </xf>
    <xf numFmtId="0" fontId="12" fillId="40" borderId="0" xfId="0" applyFont="1" applyFill="1" applyAlignment="1">
      <alignment vertical="center"/>
    </xf>
    <xf numFmtId="43" fontId="12" fillId="40" borderId="0" xfId="42" applyFont="1" applyFill="1" applyAlignment="1">
      <alignment vertical="center"/>
    </xf>
    <xf numFmtId="43" fontId="12" fillId="40" borderId="0" xfId="0" applyNumberFormat="1" applyFont="1" applyFill="1" applyAlignment="1">
      <alignment vertical="center"/>
    </xf>
    <xf numFmtId="0" fontId="12" fillId="40" borderId="11" xfId="0" applyFont="1" applyFill="1" applyBorder="1" applyAlignment="1">
      <alignment vertical="center"/>
    </xf>
    <xf numFmtId="0" fontId="12" fillId="40" borderId="17" xfId="0" applyFont="1" applyFill="1" applyBorder="1" applyAlignment="1">
      <alignment horizontal="left"/>
    </xf>
    <xf numFmtId="40" fontId="12" fillId="40" borderId="14" xfId="0" applyNumberFormat="1" applyFont="1" applyFill="1" applyBorder="1" applyAlignment="1">
      <alignment vertical="center"/>
    </xf>
    <xf numFmtId="38" fontId="12" fillId="40" borderId="14" xfId="42" applyNumberFormat="1" applyFont="1" applyFill="1" applyBorder="1" applyAlignment="1">
      <alignment horizontal="center"/>
    </xf>
    <xf numFmtId="40" fontId="12" fillId="40" borderId="14" xfId="0" applyNumberFormat="1" applyFont="1" applyFill="1" applyBorder="1" applyAlignment="1">
      <alignment horizontal="center"/>
    </xf>
    <xf numFmtId="0" fontId="12" fillId="15" borderId="11" xfId="0" applyFont="1" applyFill="1" applyBorder="1" applyAlignment="1">
      <alignment vertical="center"/>
    </xf>
    <xf numFmtId="0" fontId="12" fillId="15" borderId="17" xfId="0" applyFont="1" applyFill="1" applyBorder="1" applyAlignment="1">
      <alignment horizontal="left"/>
    </xf>
    <xf numFmtId="40" fontId="12" fillId="15" borderId="14" xfId="0" applyNumberFormat="1" applyFont="1" applyFill="1" applyBorder="1" applyAlignment="1">
      <alignment vertical="center"/>
    </xf>
    <xf numFmtId="38" fontId="12" fillId="15" borderId="14" xfId="42" applyNumberFormat="1" applyFont="1" applyFill="1" applyBorder="1" applyAlignment="1">
      <alignment horizontal="center"/>
    </xf>
    <xf numFmtId="40" fontId="12" fillId="15" borderId="14" xfId="0" applyNumberFormat="1" applyFont="1" applyFill="1" applyBorder="1" applyAlignment="1">
      <alignment horizontal="center"/>
    </xf>
    <xf numFmtId="0" fontId="12" fillId="15" borderId="0" xfId="0" applyFont="1" applyFill="1" applyAlignment="1">
      <alignment vertical="center"/>
    </xf>
    <xf numFmtId="43" fontId="12" fillId="15" borderId="0" xfId="42" applyFont="1" applyFill="1" applyAlignment="1">
      <alignment vertical="center"/>
    </xf>
    <xf numFmtId="43" fontId="12" fillId="15" borderId="0" xfId="0" applyNumberFormat="1" applyFont="1" applyFill="1" applyAlignment="1">
      <alignment vertical="center"/>
    </xf>
    <xf numFmtId="0" fontId="12" fillId="41" borderId="0" xfId="0" applyFont="1" applyFill="1" applyAlignment="1">
      <alignment vertical="center"/>
    </xf>
    <xf numFmtId="43" fontId="12" fillId="41" borderId="0" xfId="42" applyFont="1" applyFill="1" applyAlignment="1">
      <alignment vertical="center"/>
    </xf>
    <xf numFmtId="43" fontId="12" fillId="41" borderId="0" xfId="0" applyNumberFormat="1" applyFont="1" applyFill="1" applyAlignment="1">
      <alignment vertical="center"/>
    </xf>
    <xf numFmtId="0" fontId="12" fillId="42" borderId="11" xfId="0" applyFont="1" applyFill="1" applyBorder="1" applyAlignment="1">
      <alignment vertical="center"/>
    </xf>
    <xf numFmtId="0" fontId="12" fillId="42" borderId="17" xfId="0" applyFont="1" applyFill="1" applyBorder="1" applyAlignment="1">
      <alignment horizontal="left"/>
    </xf>
    <xf numFmtId="40" fontId="12" fillId="42" borderId="14" xfId="0" applyNumberFormat="1" applyFont="1" applyFill="1" applyBorder="1" applyAlignment="1">
      <alignment vertical="center"/>
    </xf>
    <xf numFmtId="38" fontId="12" fillId="42" borderId="14" xfId="42" applyNumberFormat="1" applyFont="1" applyFill="1" applyBorder="1" applyAlignment="1">
      <alignment horizontal="center"/>
    </xf>
    <xf numFmtId="40" fontId="12" fillId="42" borderId="14" xfId="0" applyNumberFormat="1" applyFont="1" applyFill="1" applyBorder="1" applyAlignment="1">
      <alignment horizontal="center"/>
    </xf>
    <xf numFmtId="0" fontId="12" fillId="42" borderId="0" xfId="0" applyFont="1" applyFill="1" applyAlignment="1">
      <alignment vertical="center"/>
    </xf>
    <xf numFmtId="43" fontId="12" fillId="42" borderId="0" xfId="42" applyFont="1" applyFill="1" applyAlignment="1">
      <alignment vertical="center"/>
    </xf>
    <xf numFmtId="43" fontId="12" fillId="42" borderId="0" xfId="0" applyNumberFormat="1" applyFont="1" applyFill="1" applyAlignment="1">
      <alignment vertical="center"/>
    </xf>
    <xf numFmtId="0" fontId="12" fillId="13" borderId="11" xfId="0" applyFont="1" applyFill="1" applyBorder="1" applyAlignment="1">
      <alignment vertical="center"/>
    </xf>
    <xf numFmtId="40" fontId="12" fillId="13" borderId="14" xfId="0" applyNumberFormat="1" applyFont="1" applyFill="1" applyBorder="1" applyAlignment="1">
      <alignment vertical="center"/>
    </xf>
    <xf numFmtId="40" fontId="12" fillId="13" borderId="14" xfId="0" applyNumberFormat="1" applyFont="1" applyFill="1" applyBorder="1" applyAlignment="1">
      <alignment horizontal="center" wrapText="1"/>
    </xf>
    <xf numFmtId="0" fontId="12" fillId="13" borderId="0" xfId="0" applyFont="1" applyFill="1" applyAlignment="1">
      <alignment vertical="center"/>
    </xf>
    <xf numFmtId="43" fontId="12" fillId="13" borderId="0" xfId="42" applyFont="1" applyFill="1" applyAlignment="1">
      <alignment vertical="center"/>
    </xf>
    <xf numFmtId="39" fontId="11" fillId="0" borderId="0" xfId="0" applyNumberFormat="1" applyFont="1" applyFill="1" applyAlignment="1">
      <alignment vertical="center"/>
    </xf>
    <xf numFmtId="39" fontId="12" fillId="0" borderId="1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vertical="center"/>
    </xf>
    <xf numFmtId="0" fontId="82" fillId="0" borderId="17" xfId="0" applyFont="1" applyFill="1" applyBorder="1" applyAlignment="1">
      <alignment horizontal="left" vertical="center"/>
    </xf>
    <xf numFmtId="40" fontId="12" fillId="41" borderId="10" xfId="42" applyNumberFormat="1" applyFont="1" applyFill="1" applyBorder="1" applyAlignment="1">
      <alignment horizontal="right" vertical="center"/>
    </xf>
    <xf numFmtId="40" fontId="12" fillId="15" borderId="10" xfId="42" applyNumberFormat="1" applyFont="1" applyFill="1" applyBorder="1" applyAlignment="1">
      <alignment horizontal="right" vertical="center"/>
    </xf>
    <xf numFmtId="40" fontId="12" fillId="40" borderId="10" xfId="42" applyNumberFormat="1" applyFont="1" applyFill="1" applyBorder="1" applyAlignment="1">
      <alignment horizontal="right" vertical="center"/>
    </xf>
    <xf numFmtId="40" fontId="12" fillId="39" borderId="14" xfId="0" applyNumberFormat="1" applyFont="1" applyFill="1" applyBorder="1" applyAlignment="1">
      <alignment horizontal="center" wrapText="1"/>
    </xf>
    <xf numFmtId="38" fontId="12" fillId="39" borderId="14" xfId="42" applyNumberFormat="1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left" vertical="center"/>
    </xf>
    <xf numFmtId="40" fontId="12" fillId="42" borderId="10" xfId="42" applyNumberFormat="1" applyFont="1" applyFill="1" applyBorder="1" applyAlignment="1">
      <alignment horizontal="right" vertical="center"/>
    </xf>
    <xf numFmtId="0" fontId="12" fillId="41" borderId="11" xfId="0" applyFont="1" applyFill="1" applyBorder="1" applyAlignment="1">
      <alignment vertical="center"/>
    </xf>
    <xf numFmtId="0" fontId="12" fillId="41" borderId="17" xfId="0" applyFont="1" applyFill="1" applyBorder="1" applyAlignment="1">
      <alignment horizontal="left" vertical="center"/>
    </xf>
    <xf numFmtId="40" fontId="12" fillId="41" borderId="14" xfId="0" applyNumberFormat="1" applyFont="1" applyFill="1" applyBorder="1" applyAlignment="1">
      <alignment vertical="center"/>
    </xf>
    <xf numFmtId="38" fontId="12" fillId="41" borderId="14" xfId="42" applyNumberFormat="1" applyFont="1" applyFill="1" applyBorder="1" applyAlignment="1">
      <alignment horizontal="center" vertical="center"/>
    </xf>
    <xf numFmtId="40" fontId="12" fillId="41" borderId="14" xfId="0" applyNumberFormat="1" applyFont="1" applyFill="1" applyBorder="1" applyAlignment="1">
      <alignment horizontal="center" vertical="center" wrapText="1"/>
    </xf>
    <xf numFmtId="0" fontId="12" fillId="40" borderId="17" xfId="0" applyFont="1" applyFill="1" applyBorder="1" applyAlignment="1">
      <alignment vertical="center"/>
    </xf>
    <xf numFmtId="38" fontId="12" fillId="40" borderId="14" xfId="42" applyNumberFormat="1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left" vertical="center" wrapText="1"/>
    </xf>
    <xf numFmtId="38" fontId="12" fillId="9" borderId="14" xfId="42" applyNumberFormat="1" applyFont="1" applyFill="1" applyBorder="1" applyAlignment="1">
      <alignment horizontal="center" vertical="center" wrapText="1"/>
    </xf>
    <xf numFmtId="0" fontId="12" fillId="43" borderId="0" xfId="0" applyFont="1" applyFill="1" applyAlignment="1">
      <alignment horizontal="center" vertical="center"/>
    </xf>
    <xf numFmtId="0" fontId="12" fillId="43" borderId="11" xfId="0" applyFont="1" applyFill="1" applyBorder="1" applyAlignment="1">
      <alignment horizontal="center" vertical="center"/>
    </xf>
    <xf numFmtId="0" fontId="12" fillId="43" borderId="17" xfId="0" applyFont="1" applyFill="1" applyBorder="1" applyAlignment="1">
      <alignment horizontal="left" vertical="center"/>
    </xf>
    <xf numFmtId="40" fontId="12" fillId="43" borderId="10" xfId="0" applyNumberFormat="1" applyFont="1" applyFill="1" applyBorder="1" applyAlignment="1">
      <alignment horizontal="right" vertical="center"/>
    </xf>
    <xf numFmtId="38" fontId="12" fillId="43" borderId="10" xfId="42" applyNumberFormat="1" applyFont="1" applyFill="1" applyBorder="1" applyAlignment="1">
      <alignment horizontal="center" vertical="center"/>
    </xf>
    <xf numFmtId="40" fontId="12" fillId="43" borderId="10" xfId="0" applyNumberFormat="1" applyFont="1" applyFill="1" applyBorder="1" applyAlignment="1">
      <alignment horizontal="center" vertical="center"/>
    </xf>
    <xf numFmtId="40" fontId="12" fillId="43" borderId="10" xfId="42" applyNumberFormat="1" applyFont="1" applyFill="1" applyBorder="1" applyAlignment="1">
      <alignment horizontal="right" vertical="center"/>
    </xf>
    <xf numFmtId="43" fontId="12" fillId="43" borderId="0" xfId="42" applyFont="1" applyFill="1" applyAlignment="1">
      <alignment horizontal="center" vertical="center"/>
    </xf>
    <xf numFmtId="43" fontId="12" fillId="43" borderId="0" xfId="0" applyNumberFormat="1" applyFont="1" applyFill="1" applyAlignment="1">
      <alignment vertical="center"/>
    </xf>
    <xf numFmtId="3" fontId="12" fillId="0" borderId="17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0" fontId="12" fillId="43" borderId="17" xfId="0" applyFont="1" applyFill="1" applyBorder="1" applyAlignment="1">
      <alignment horizontal="left"/>
    </xf>
    <xf numFmtId="0" fontId="12" fillId="43" borderId="0" xfId="0" applyFont="1" applyFill="1" applyAlignment="1">
      <alignment vertical="center"/>
    </xf>
    <xf numFmtId="0" fontId="12" fillId="43" borderId="11" xfId="0" applyFont="1" applyFill="1" applyBorder="1" applyAlignment="1">
      <alignment vertical="center"/>
    </xf>
    <xf numFmtId="40" fontId="12" fillId="43" borderId="14" xfId="0" applyNumberFormat="1" applyFont="1" applyFill="1" applyBorder="1" applyAlignment="1">
      <alignment vertical="center"/>
    </xf>
    <xf numFmtId="38" fontId="12" fillId="43" borderId="14" xfId="42" applyNumberFormat="1" applyFont="1" applyFill="1" applyBorder="1" applyAlignment="1">
      <alignment horizontal="center"/>
    </xf>
    <xf numFmtId="40" fontId="12" fillId="43" borderId="14" xfId="0" applyNumberFormat="1" applyFont="1" applyFill="1" applyBorder="1" applyAlignment="1">
      <alignment horizontal="center"/>
    </xf>
    <xf numFmtId="43" fontId="12" fillId="43" borderId="0" xfId="42" applyFont="1" applyFill="1" applyAlignment="1">
      <alignment vertical="center"/>
    </xf>
    <xf numFmtId="38" fontId="12" fillId="43" borderId="14" xfId="42" applyNumberFormat="1" applyFont="1" applyFill="1" applyBorder="1" applyAlignment="1">
      <alignment horizontal="center" vertical="center"/>
    </xf>
    <xf numFmtId="40" fontId="12" fillId="43" borderId="14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3" fontId="12" fillId="0" borderId="13" xfId="42" applyFont="1" applyFill="1" applyBorder="1" applyAlignment="1">
      <alignment horizontal="right"/>
    </xf>
    <xf numFmtId="43" fontId="12" fillId="0" borderId="13" xfId="42" applyFont="1" applyFill="1" applyBorder="1" applyAlignment="1">
      <alignment horizontal="right" vertical="center"/>
    </xf>
    <xf numFmtId="43" fontId="15" fillId="0" borderId="10" xfId="42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horizontal="center" vertical="center" wrapText="1"/>
    </xf>
    <xf numFmtId="40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4" fontId="27" fillId="0" borderId="10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horizontal="left"/>
    </xf>
    <xf numFmtId="40" fontId="12" fillId="0" borderId="14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right" vertical="center"/>
    </xf>
    <xf numFmtId="43" fontId="12" fillId="0" borderId="10" xfId="42" applyFont="1" applyFill="1" applyBorder="1" applyAlignment="1">
      <alignment horizontal="center" vertical="center" wrapText="1"/>
    </xf>
    <xf numFmtId="40" fontId="15" fillId="0" borderId="14" xfId="0" applyNumberFormat="1" applyFont="1" applyFill="1" applyBorder="1" applyAlignment="1">
      <alignment horizontal="right" vertical="center"/>
    </xf>
    <xf numFmtId="40" fontId="15" fillId="0" borderId="14" xfId="0" applyNumberFormat="1" applyFont="1" applyBorder="1" applyAlignment="1">
      <alignment horizontal="right" vertical="center"/>
    </xf>
    <xf numFmtId="43" fontId="15" fillId="0" borderId="10" xfId="42" applyFont="1" applyFill="1" applyBorder="1" applyAlignment="1">
      <alignment horizontal="right" vertical="center"/>
    </xf>
    <xf numFmtId="43" fontId="15" fillId="0" borderId="10" xfId="42" applyFont="1" applyBorder="1" applyAlignment="1">
      <alignment horizontal="right" vertical="center"/>
    </xf>
    <xf numFmtId="0" fontId="12" fillId="0" borderId="0" xfId="55" applyFont="1" applyAlignment="1">
      <alignment vertical="top" wrapText="1"/>
      <protection/>
    </xf>
    <xf numFmtId="0" fontId="12" fillId="0" borderId="0" xfId="55" applyFont="1">
      <alignment/>
      <protection/>
    </xf>
    <xf numFmtId="0" fontId="81" fillId="0" borderId="0" xfId="0" applyFont="1" applyFill="1" applyAlignment="1">
      <alignment/>
    </xf>
    <xf numFmtId="180" fontId="17" fillId="0" borderId="10" xfId="42" applyNumberFormat="1" applyFont="1" applyFill="1" applyBorder="1" applyAlignment="1">
      <alignment horizontal="center" vertical="center" wrapText="1"/>
    </xf>
    <xf numFmtId="180" fontId="17" fillId="0" borderId="10" xfId="42" applyNumberFormat="1" applyFont="1" applyFill="1" applyBorder="1" applyAlignment="1">
      <alignment horizontal="center" vertical="center"/>
    </xf>
    <xf numFmtId="180" fontId="17" fillId="0" borderId="14" xfId="42" applyNumberFormat="1" applyFont="1" applyFill="1" applyBorder="1" applyAlignment="1">
      <alignment horizontal="center" vertical="center"/>
    </xf>
    <xf numFmtId="180" fontId="12" fillId="0" borderId="10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193" fontId="4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3" fontId="4" fillId="0" borderId="10" xfId="0" applyNumberFormat="1" applyFont="1" applyBorder="1" applyAlignment="1">
      <alignment horizontal="center" vertical="center" wrapText="1"/>
    </xf>
    <xf numFmtId="193" fontId="5" fillId="0" borderId="10" xfId="42" applyNumberFormat="1" applyFont="1" applyBorder="1" applyAlignment="1">
      <alignment horizontal="right"/>
    </xf>
    <xf numFmtId="193" fontId="4" fillId="0" borderId="12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 vertical="justify"/>
    </xf>
    <xf numFmtId="0" fontId="81" fillId="0" borderId="0" xfId="0" applyFont="1" applyAlignment="1">
      <alignment wrapText="1"/>
    </xf>
    <xf numFmtId="193" fontId="5" fillId="0" borderId="0" xfId="0" applyNumberFormat="1" applyFont="1" applyFill="1" applyAlignment="1">
      <alignment vertical="center"/>
    </xf>
    <xf numFmtId="193" fontId="11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14" fillId="0" borderId="0" xfId="0" applyNumberFormat="1" applyFont="1" applyAlignment="1">
      <alignment vertical="center"/>
    </xf>
    <xf numFmtId="193" fontId="5" fillId="0" borderId="10" xfId="42" applyNumberFormat="1" applyFont="1" applyFill="1" applyBorder="1" applyAlignment="1">
      <alignment vertical="center"/>
    </xf>
    <xf numFmtId="193" fontId="15" fillId="0" borderId="12" xfId="0" applyNumberFormat="1" applyFont="1" applyBorder="1" applyAlignment="1">
      <alignment vertical="center"/>
    </xf>
    <xf numFmtId="193" fontId="15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193" fontId="12" fillId="0" borderId="10" xfId="0" applyNumberFormat="1" applyFont="1" applyFill="1" applyBorder="1" applyAlignment="1">
      <alignment vertical="center"/>
    </xf>
    <xf numFmtId="193" fontId="11" fillId="0" borderId="10" xfId="42" applyNumberFormat="1" applyFont="1" applyFill="1" applyBorder="1" applyAlignment="1">
      <alignment horizontal="center" vertical="center" wrapText="1"/>
    </xf>
    <xf numFmtId="193" fontId="4" fillId="0" borderId="10" xfId="42" applyNumberFormat="1" applyFont="1" applyFill="1" applyBorder="1" applyAlignment="1">
      <alignment horizontal="center" vertical="center" wrapText="1"/>
    </xf>
    <xf numFmtId="193" fontId="12" fillId="0" borderId="10" xfId="42" applyNumberFormat="1" applyFont="1" applyFill="1" applyBorder="1" applyAlignment="1">
      <alignment horizontal="center" vertical="center"/>
    </xf>
    <xf numFmtId="193" fontId="5" fillId="0" borderId="10" xfId="42" applyNumberFormat="1" applyFont="1" applyFill="1" applyBorder="1" applyAlignment="1">
      <alignment horizontal="center" vertical="center"/>
    </xf>
    <xf numFmtId="193" fontId="12" fillId="0" borderId="10" xfId="42" applyNumberFormat="1" applyFont="1" applyFill="1" applyBorder="1" applyAlignment="1">
      <alignment horizontal="right" vertical="center"/>
    </xf>
    <xf numFmtId="193" fontId="12" fillId="0" borderId="12" xfId="42" applyNumberFormat="1" applyFont="1" applyFill="1" applyBorder="1" applyAlignment="1">
      <alignment horizontal="right" vertical="center"/>
    </xf>
    <xf numFmtId="193" fontId="5" fillId="0" borderId="12" xfId="42" applyNumberFormat="1" applyFont="1" applyFill="1" applyBorder="1" applyAlignment="1">
      <alignment horizontal="right" vertical="center"/>
    </xf>
    <xf numFmtId="193" fontId="5" fillId="0" borderId="0" xfId="42" applyNumberFormat="1" applyFont="1" applyFill="1" applyAlignment="1">
      <alignment vertical="center"/>
    </xf>
    <xf numFmtId="193" fontId="20" fillId="0" borderId="0" xfId="56" applyNumberFormat="1" applyFont="1" applyFill="1">
      <alignment/>
      <protection/>
    </xf>
    <xf numFmtId="193" fontId="20" fillId="0" borderId="0" xfId="0" applyNumberFormat="1" applyFont="1" applyFill="1" applyAlignment="1">
      <alignment horizontal="left" vertical="center"/>
    </xf>
    <xf numFmtId="193" fontId="20" fillId="0" borderId="10" xfId="56" applyNumberFormat="1" applyFont="1" applyFill="1" applyBorder="1">
      <alignment/>
      <protection/>
    </xf>
    <xf numFmtId="193" fontId="20" fillId="0" borderId="10" xfId="42" applyNumberFormat="1" applyFont="1" applyFill="1" applyBorder="1" applyAlignment="1">
      <alignment/>
    </xf>
    <xf numFmtId="193" fontId="5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20" xfId="56" applyFont="1" applyFill="1" applyBorder="1" applyAlignment="1">
      <alignment horizontal="center" vertical="center"/>
      <protection/>
    </xf>
    <xf numFmtId="0" fontId="10" fillId="0" borderId="17" xfId="56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193" fontId="18" fillId="0" borderId="24" xfId="42" applyNumberFormat="1" applyFont="1" applyFill="1" applyBorder="1" applyAlignment="1">
      <alignment horizontal="center" vertical="center"/>
    </xf>
    <xf numFmtId="193" fontId="24" fillId="0" borderId="24" xfId="42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93" fontId="4" fillId="0" borderId="11" xfId="42" applyNumberFormat="1" applyFont="1" applyFill="1" applyBorder="1" applyAlignment="1">
      <alignment horizontal="center" vertical="center"/>
    </xf>
    <xf numFmtId="193" fontId="4" fillId="0" borderId="20" xfId="42" applyNumberFormat="1" applyFont="1" applyFill="1" applyBorder="1" applyAlignment="1">
      <alignment horizontal="center" vertical="center"/>
    </xf>
    <xf numFmtId="193" fontId="4" fillId="0" borderId="17" xfId="42" applyNumberFormat="1" applyFont="1" applyFill="1" applyBorder="1" applyAlignment="1">
      <alignment horizontal="center" vertical="center"/>
    </xf>
    <xf numFmtId="0" fontId="12" fillId="0" borderId="0" xfId="55" applyFont="1" applyAlignment="1">
      <alignment horizontal="left" vertical="top" wrapText="1"/>
      <protection/>
    </xf>
    <xf numFmtId="0" fontId="81" fillId="0" borderId="0" xfId="55" applyFont="1" applyAlignment="1">
      <alignment horizontal="left" vertical="top" wrapText="1"/>
      <protection/>
    </xf>
    <xf numFmtId="0" fontId="5" fillId="0" borderId="0" xfId="55" applyFont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0" xfId="56" applyFont="1" applyFill="1" applyAlignment="1">
      <alignment horizontal="center"/>
      <protection/>
    </xf>
    <xf numFmtId="193" fontId="21" fillId="0" borderId="10" xfId="0" applyNumberFormat="1" applyFont="1" applyFill="1" applyBorder="1" applyAlignment="1">
      <alignment horizontal="center" vertical="center" wrapText="1"/>
    </xf>
    <xf numFmtId="193" fontId="20" fillId="0" borderId="10" xfId="0" applyNumberFormat="1" applyFont="1" applyFill="1" applyBorder="1" applyAlignment="1">
      <alignment/>
    </xf>
    <xf numFmtId="19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56" applyFont="1" applyFill="1" applyBorder="1" applyAlignment="1">
      <alignment horizontal="center" vertical="center"/>
      <protection/>
    </xf>
    <xf numFmtId="0" fontId="20" fillId="0" borderId="16" xfId="56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ตาราง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54" zoomScalePageLayoutView="0" workbookViewId="0" topLeftCell="A1">
      <selection activeCell="H20" sqref="H20"/>
    </sheetView>
  </sheetViews>
  <sheetFormatPr defaultColWidth="9.140625" defaultRowHeight="19.5" customHeight="1"/>
  <cols>
    <col min="1" max="1" width="19.28125" style="2" customWidth="1"/>
    <col min="2" max="2" width="4.28125" style="2" customWidth="1"/>
    <col min="3" max="3" width="34.8515625" style="2" customWidth="1"/>
    <col min="4" max="4" width="24.421875" style="2" customWidth="1"/>
    <col min="5" max="5" width="27.140625" style="2" customWidth="1"/>
    <col min="6" max="6" width="26.28125" style="2" customWidth="1"/>
    <col min="7" max="7" width="27.421875" style="2" customWidth="1"/>
    <col min="8" max="8" width="9.140625" style="2" customWidth="1"/>
    <col min="9" max="9" width="16.140625" style="2" bestFit="1" customWidth="1"/>
    <col min="10" max="10" width="18.57421875" style="2" bestFit="1" customWidth="1"/>
    <col min="11" max="11" width="15.00390625" style="2" bestFit="1" customWidth="1"/>
    <col min="12" max="12" width="16.140625" style="2" bestFit="1" customWidth="1"/>
    <col min="13" max="16384" width="9.140625" style="2" customWidth="1"/>
  </cols>
  <sheetData>
    <row r="1" ht="19.5" customHeight="1">
      <c r="G1" s="129" t="s">
        <v>102</v>
      </c>
    </row>
    <row r="2" spans="1:7" ht="19.5" customHeight="1">
      <c r="A2" s="605" t="s">
        <v>81</v>
      </c>
      <c r="B2" s="605"/>
      <c r="C2" s="605"/>
      <c r="D2" s="605"/>
      <c r="E2" s="605"/>
      <c r="F2" s="1"/>
      <c r="G2" s="1"/>
    </row>
    <row r="3" ht="19.5" customHeight="1">
      <c r="G3" s="1" t="s">
        <v>17</v>
      </c>
    </row>
    <row r="4" spans="1:7" s="3" customFormat="1" ht="19.5" customHeight="1">
      <c r="A4" s="610" t="s">
        <v>21</v>
      </c>
      <c r="B4" s="611"/>
      <c r="C4" s="612"/>
      <c r="D4" s="98" t="s">
        <v>0</v>
      </c>
      <c r="E4" s="98" t="s">
        <v>1</v>
      </c>
      <c r="F4" s="98" t="s">
        <v>2</v>
      </c>
      <c r="G4" s="98" t="s">
        <v>18</v>
      </c>
    </row>
    <row r="5" spans="1:16" ht="19.5" customHeight="1">
      <c r="A5" s="606" t="s">
        <v>22</v>
      </c>
      <c r="B5" s="607"/>
      <c r="C5" s="608"/>
      <c r="D5" s="110">
        <v>270867247.53999996</v>
      </c>
      <c r="E5" s="169">
        <v>0</v>
      </c>
      <c r="F5" s="169">
        <v>19946891.459999997</v>
      </c>
      <c r="G5" s="110">
        <f aca="true" t="shared" si="0" ref="G5:G10">SUM(D5:F5)</f>
        <v>290814138.99999994</v>
      </c>
      <c r="I5" s="134"/>
      <c r="J5" s="134"/>
      <c r="K5" s="134"/>
      <c r="L5" s="134"/>
      <c r="M5" s="159"/>
      <c r="N5" s="159"/>
      <c r="O5" s="159"/>
      <c r="P5" s="159"/>
    </row>
    <row r="6" spans="1:16" ht="19.5" customHeight="1">
      <c r="A6" s="606" t="s">
        <v>23</v>
      </c>
      <c r="B6" s="607"/>
      <c r="C6" s="608"/>
      <c r="D6" s="110">
        <v>28394592.410000004</v>
      </c>
      <c r="E6" s="169">
        <v>0</v>
      </c>
      <c r="F6" s="169">
        <v>0</v>
      </c>
      <c r="G6" s="110">
        <f t="shared" si="0"/>
        <v>28394592.410000004</v>
      </c>
      <c r="I6" s="134"/>
      <c r="J6" s="134"/>
      <c r="K6" s="134"/>
      <c r="L6" s="134"/>
      <c r="M6" s="159"/>
      <c r="N6" s="159"/>
      <c r="O6" s="159"/>
      <c r="P6" s="159"/>
    </row>
    <row r="7" spans="1:16" ht="19.5" customHeight="1">
      <c r="A7" s="606" t="s">
        <v>24</v>
      </c>
      <c r="B7" s="607"/>
      <c r="C7" s="608"/>
      <c r="D7" s="110">
        <v>66969202.989999995</v>
      </c>
      <c r="E7" s="111">
        <v>0</v>
      </c>
      <c r="F7" s="111">
        <v>612078.54</v>
      </c>
      <c r="G7" s="110">
        <f t="shared" si="0"/>
        <v>67581281.53</v>
      </c>
      <c r="I7" s="134"/>
      <c r="J7" s="134"/>
      <c r="K7" s="134"/>
      <c r="L7" s="134"/>
      <c r="M7" s="159"/>
      <c r="N7" s="159"/>
      <c r="O7" s="159"/>
      <c r="P7" s="159"/>
    </row>
    <row r="8" spans="1:16" ht="19.5" customHeight="1">
      <c r="A8" s="606" t="s">
        <v>25</v>
      </c>
      <c r="B8" s="607"/>
      <c r="C8" s="608"/>
      <c r="D8" s="110">
        <v>284681433.38000005</v>
      </c>
      <c r="E8" s="169">
        <v>1999135.2399999998</v>
      </c>
      <c r="F8" s="169">
        <v>85826898.92999999</v>
      </c>
      <c r="G8" s="110">
        <f t="shared" si="0"/>
        <v>372507467.5500001</v>
      </c>
      <c r="I8" s="134"/>
      <c r="J8" s="134"/>
      <c r="K8" s="134"/>
      <c r="L8" s="134"/>
      <c r="M8" s="159"/>
      <c r="N8" s="159"/>
      <c r="O8" s="159"/>
      <c r="P8" s="159"/>
    </row>
    <row r="9" spans="1:16" ht="19.5" customHeight="1">
      <c r="A9" s="606" t="s">
        <v>26</v>
      </c>
      <c r="B9" s="607"/>
      <c r="C9" s="608"/>
      <c r="D9" s="110">
        <v>15391616.25</v>
      </c>
      <c r="E9" s="169">
        <v>13794505.999999998</v>
      </c>
      <c r="F9" s="169">
        <v>0</v>
      </c>
      <c r="G9" s="110">
        <f t="shared" si="0"/>
        <v>29186122.25</v>
      </c>
      <c r="I9" s="134"/>
      <c r="J9" s="134"/>
      <c r="K9" s="134"/>
      <c r="L9" s="134"/>
      <c r="M9" s="159"/>
      <c r="N9" s="159"/>
      <c r="O9" s="159"/>
      <c r="P9" s="159"/>
    </row>
    <row r="10" spans="1:16" ht="19.5" customHeight="1">
      <c r="A10" s="606" t="s">
        <v>369</v>
      </c>
      <c r="B10" s="607"/>
      <c r="C10" s="608"/>
      <c r="D10" s="202">
        <v>2</v>
      </c>
      <c r="E10" s="169">
        <f>3202471.79+25161.17</f>
        <v>3227632.96</v>
      </c>
      <c r="F10" s="202">
        <v>0</v>
      </c>
      <c r="G10" s="110">
        <f t="shared" si="0"/>
        <v>3227634.96</v>
      </c>
      <c r="I10" s="134"/>
      <c r="J10" s="134"/>
      <c r="K10" s="134"/>
      <c r="L10" s="134"/>
      <c r="M10" s="159"/>
      <c r="N10" s="159"/>
      <c r="O10" s="159"/>
      <c r="P10" s="159"/>
    </row>
    <row r="11" spans="1:10" ht="24.75" thickBot="1">
      <c r="A11" s="613" t="s">
        <v>27</v>
      </c>
      <c r="B11" s="614"/>
      <c r="C11" s="615"/>
      <c r="D11" s="112">
        <f>SUM(D5:D10)</f>
        <v>666304094.57</v>
      </c>
      <c r="E11" s="112">
        <f>SUM(E5:E10)</f>
        <v>19021274.2</v>
      </c>
      <c r="F11" s="112">
        <f>SUM(F5:F10)</f>
        <v>106385868.92999999</v>
      </c>
      <c r="G11" s="126">
        <f>SUM(G5:G10)</f>
        <v>791711237.7</v>
      </c>
      <c r="J11" s="159"/>
    </row>
    <row r="12" ht="19.5" customHeight="1" thickTop="1"/>
    <row r="13" spans="1:7" ht="19.5" customHeight="1">
      <c r="A13" s="609" t="s">
        <v>28</v>
      </c>
      <c r="B13" s="609"/>
      <c r="C13" s="609"/>
      <c r="D13" s="296"/>
      <c r="G13" s="134"/>
    </row>
    <row r="14" spans="2:10" ht="19.5" customHeight="1">
      <c r="B14" s="2" t="s">
        <v>29</v>
      </c>
      <c r="G14" s="4">
        <f>SUM(G16+G11)</f>
        <v>909881481.8900001</v>
      </c>
      <c r="J14" s="159"/>
    </row>
    <row r="15" spans="2:10" ht="19.5" customHeight="1">
      <c r="B15" s="5" t="s">
        <v>30</v>
      </c>
      <c r="C15" s="2" t="s">
        <v>79</v>
      </c>
      <c r="F15" s="4">
        <v>50270439.57000001</v>
      </c>
      <c r="J15" s="159"/>
    </row>
    <row r="16" spans="3:10" ht="19.5" customHeight="1">
      <c r="C16" s="2" t="s">
        <v>80</v>
      </c>
      <c r="F16" s="6">
        <v>67899804.62</v>
      </c>
      <c r="G16" s="6">
        <f>SUM(F15:F16)</f>
        <v>118170244.19000001</v>
      </c>
      <c r="J16" s="159"/>
    </row>
    <row r="17" spans="2:7" ht="19.5" customHeight="1">
      <c r="B17" s="2" t="s">
        <v>27</v>
      </c>
      <c r="E17" s="159"/>
      <c r="G17" s="7">
        <f>SUM(G11)</f>
        <v>791711237.7</v>
      </c>
    </row>
    <row r="19" ht="19.5" customHeight="1">
      <c r="G19" s="134"/>
    </row>
    <row r="20" ht="19.5" customHeight="1">
      <c r="G20" s="296"/>
    </row>
    <row r="21" spans="4:7" ht="19.5" customHeight="1">
      <c r="D21" s="147"/>
      <c r="E21" s="147"/>
      <c r="F21" s="147"/>
      <c r="G21" s="148"/>
    </row>
    <row r="29" spans="4:7" ht="19.5" customHeight="1">
      <c r="D29" s="134"/>
      <c r="F29" s="134"/>
      <c r="G29" s="134"/>
    </row>
    <row r="32" spans="4:7" ht="19.5" customHeight="1">
      <c r="D32" s="159"/>
      <c r="E32" s="159"/>
      <c r="F32" s="159"/>
      <c r="G32" s="159"/>
    </row>
    <row r="33" spans="4:7" ht="19.5" customHeight="1">
      <c r="D33" s="159"/>
      <c r="E33" s="159"/>
      <c r="F33" s="159"/>
      <c r="G33" s="159"/>
    </row>
    <row r="34" spans="4:7" ht="19.5" customHeight="1">
      <c r="D34" s="159"/>
      <c r="E34" s="159"/>
      <c r="F34" s="159"/>
      <c r="G34" s="159"/>
    </row>
    <row r="35" spans="4:7" ht="19.5" customHeight="1">
      <c r="D35" s="159"/>
      <c r="E35" s="159"/>
      <c r="F35" s="159"/>
      <c r="G35" s="159"/>
    </row>
    <row r="36" spans="4:7" ht="19.5" customHeight="1">
      <c r="D36" s="159"/>
      <c r="E36" s="159"/>
      <c r="F36" s="159"/>
      <c r="G36" s="159"/>
    </row>
    <row r="37" spans="4:7" ht="19.5" customHeight="1">
      <c r="D37" s="159"/>
      <c r="E37" s="159"/>
      <c r="F37" s="159"/>
      <c r="G37" s="159"/>
    </row>
    <row r="38" spans="4:7" ht="19.5" customHeight="1">
      <c r="D38" s="159"/>
      <c r="E38" s="159"/>
      <c r="F38" s="159"/>
      <c r="G38" s="159"/>
    </row>
  </sheetData>
  <sheetProtection/>
  <mergeCells count="10">
    <mergeCell ref="A2:E2"/>
    <mergeCell ref="A5:C5"/>
    <mergeCell ref="A6:C6"/>
    <mergeCell ref="A7:C7"/>
    <mergeCell ref="A13:C13"/>
    <mergeCell ref="A4:C4"/>
    <mergeCell ref="A11:C11"/>
    <mergeCell ref="A8:C8"/>
    <mergeCell ref="A9:C9"/>
    <mergeCell ref="A10:C10"/>
  </mergeCells>
  <printOptions horizontalCentered="1"/>
  <pageMargins left="0.1968503937007874" right="0.11811023622047245" top="0.984251968503937" bottom="0.984251968503937" header="0.5118110236220472" footer="0.5118110236220472"/>
  <pageSetup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31" zoomScalePageLayoutView="0" workbookViewId="0" topLeftCell="A1">
      <selection activeCell="A1" sqref="A1"/>
    </sheetView>
  </sheetViews>
  <sheetFormatPr defaultColWidth="9.140625" defaultRowHeight="12.75"/>
  <cols>
    <col min="1" max="1" width="45.00390625" style="41" customWidth="1"/>
    <col min="2" max="2" width="21.421875" style="24" customWidth="1"/>
    <col min="3" max="3" width="22.00390625" style="24" customWidth="1"/>
    <col min="4" max="4" width="20.28125" style="24" customWidth="1"/>
    <col min="5" max="5" width="19.421875" style="24" customWidth="1"/>
    <col min="6" max="6" width="19.57421875" style="24" customWidth="1"/>
    <col min="7" max="7" width="10.00390625" style="21" customWidth="1"/>
    <col min="8" max="8" width="9.7109375" style="21" bestFit="1" customWidth="1"/>
    <col min="9" max="9" width="17.7109375" style="24" customWidth="1"/>
    <col min="10" max="16384" width="9.140625" style="24" customWidth="1"/>
  </cols>
  <sheetData>
    <row r="1" ht="24">
      <c r="A1" s="13" t="s">
        <v>187</v>
      </c>
    </row>
    <row r="2" spans="1:9" ht="24">
      <c r="A2" s="14"/>
      <c r="I2" s="115" t="s">
        <v>17</v>
      </c>
    </row>
    <row r="3" spans="1:9" s="18" customFormat="1" ht="24">
      <c r="A3" s="31" t="s">
        <v>19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11</v>
      </c>
      <c r="G3" s="16" t="s">
        <v>9</v>
      </c>
      <c r="H3" s="16" t="s">
        <v>10</v>
      </c>
      <c r="I3" s="17" t="s">
        <v>12</v>
      </c>
    </row>
    <row r="4" spans="1:9" ht="48">
      <c r="A4" s="32" t="s">
        <v>92</v>
      </c>
      <c r="B4" s="33">
        <v>301272359.91999996</v>
      </c>
      <c r="C4" s="243">
        <v>31055484.509999998</v>
      </c>
      <c r="D4" s="33">
        <v>15041881.59</v>
      </c>
      <c r="E4" s="33">
        <v>7252921.699999997</v>
      </c>
      <c r="F4" s="33">
        <f>SUM(B4:E4)</f>
        <v>354622647.7199999</v>
      </c>
      <c r="G4" s="19">
        <v>98</v>
      </c>
      <c r="H4" s="34" t="s">
        <v>4</v>
      </c>
      <c r="I4" s="33">
        <f aca="true" t="shared" si="0" ref="I4:I11">F4/G4</f>
        <v>3618598.446122448</v>
      </c>
    </row>
    <row r="5" spans="1:9" ht="24">
      <c r="A5" s="32" t="s">
        <v>93</v>
      </c>
      <c r="B5" s="33">
        <v>285689967.39</v>
      </c>
      <c r="C5" s="243">
        <v>133200.93999999994</v>
      </c>
      <c r="D5" s="33">
        <v>989857.38</v>
      </c>
      <c r="E5" s="33">
        <v>4470501.95</v>
      </c>
      <c r="F5" s="33">
        <f aca="true" t="shared" si="1" ref="F5:F11">SUM(B5:E5)</f>
        <v>291283527.65999997</v>
      </c>
      <c r="G5" s="19">
        <v>118</v>
      </c>
      <c r="H5" s="34" t="s">
        <v>4</v>
      </c>
      <c r="I5" s="33">
        <f t="shared" si="0"/>
        <v>2468504.471694915</v>
      </c>
    </row>
    <row r="6" spans="1:9" ht="48">
      <c r="A6" s="32" t="s">
        <v>94</v>
      </c>
      <c r="B6" s="33">
        <v>6978663.71</v>
      </c>
      <c r="C6" s="243">
        <v>38108.35</v>
      </c>
      <c r="D6" s="33">
        <v>370291.62</v>
      </c>
      <c r="E6" s="33">
        <v>59768.98</v>
      </c>
      <c r="F6" s="33">
        <f t="shared" si="1"/>
        <v>7446832.66</v>
      </c>
      <c r="G6" s="19">
        <v>40</v>
      </c>
      <c r="H6" s="34" t="s">
        <v>4</v>
      </c>
      <c r="I6" s="33">
        <f t="shared" si="0"/>
        <v>186170.81650000002</v>
      </c>
    </row>
    <row r="7" spans="1:9" ht="24">
      <c r="A7" s="32" t="s">
        <v>95</v>
      </c>
      <c r="B7" s="33">
        <v>35164813.98</v>
      </c>
      <c r="C7" s="243">
        <v>4124873.5099999993</v>
      </c>
      <c r="D7" s="33">
        <v>1889736.45</v>
      </c>
      <c r="E7" s="33">
        <v>2057301.82</v>
      </c>
      <c r="F7" s="33">
        <f t="shared" si="1"/>
        <v>43236725.76</v>
      </c>
      <c r="G7" s="19">
        <v>2255</v>
      </c>
      <c r="H7" s="34" t="s">
        <v>6</v>
      </c>
      <c r="I7" s="33">
        <f t="shared" si="0"/>
        <v>19173.714305986694</v>
      </c>
    </row>
    <row r="8" spans="1:9" ht="24">
      <c r="A8" s="32" t="s">
        <v>96</v>
      </c>
      <c r="B8" s="33">
        <v>24978613.2</v>
      </c>
      <c r="C8" s="243">
        <v>27946.12</v>
      </c>
      <c r="D8" s="33">
        <v>247126.37</v>
      </c>
      <c r="E8" s="33">
        <v>87134.6</v>
      </c>
      <c r="F8" s="33">
        <f t="shared" si="1"/>
        <v>25340820.290000003</v>
      </c>
      <c r="G8" s="19">
        <v>270</v>
      </c>
      <c r="H8" s="34" t="s">
        <v>4</v>
      </c>
      <c r="I8" s="33">
        <f t="shared" si="0"/>
        <v>93854.88996296297</v>
      </c>
    </row>
    <row r="9" spans="1:9" ht="24">
      <c r="A9" s="165" t="s">
        <v>138</v>
      </c>
      <c r="B9" s="166">
        <v>41615553.71</v>
      </c>
      <c r="C9" s="244">
        <v>106706.37999999989</v>
      </c>
      <c r="D9" s="166">
        <v>1074495.3599999999</v>
      </c>
      <c r="E9" s="166">
        <v>13517920.95</v>
      </c>
      <c r="F9" s="33">
        <f t="shared" si="1"/>
        <v>56314676.400000006</v>
      </c>
      <c r="G9" s="164">
        <v>1</v>
      </c>
      <c r="H9" s="167" t="s">
        <v>87</v>
      </c>
      <c r="I9" s="166">
        <f t="shared" si="0"/>
        <v>56314676.400000006</v>
      </c>
    </row>
    <row r="10" spans="1:9" ht="48">
      <c r="A10" s="165" t="s">
        <v>288</v>
      </c>
      <c r="B10" s="166">
        <v>9397664.27</v>
      </c>
      <c r="C10" s="244">
        <v>4079071.19</v>
      </c>
      <c r="D10" s="166">
        <v>211160.29</v>
      </c>
      <c r="E10" s="166">
        <v>46319.99</v>
      </c>
      <c r="F10" s="33">
        <f t="shared" si="1"/>
        <v>13734215.739999998</v>
      </c>
      <c r="G10" s="164">
        <v>97</v>
      </c>
      <c r="H10" s="34" t="s">
        <v>4</v>
      </c>
      <c r="I10" s="166">
        <f t="shared" si="0"/>
        <v>141589.8529896907</v>
      </c>
    </row>
    <row r="11" spans="1:9" ht="72">
      <c r="A11" s="165" t="s">
        <v>299</v>
      </c>
      <c r="B11" s="166">
        <v>24978613.19</v>
      </c>
      <c r="C11" s="244">
        <v>27946.13</v>
      </c>
      <c r="D11" s="166">
        <v>247126.38</v>
      </c>
      <c r="E11" s="166">
        <v>87134.6</v>
      </c>
      <c r="F11" s="33">
        <f t="shared" si="1"/>
        <v>25340820.3</v>
      </c>
      <c r="G11" s="164">
        <v>1027</v>
      </c>
      <c r="H11" s="167" t="s">
        <v>6</v>
      </c>
      <c r="I11" s="166">
        <f t="shared" si="0"/>
        <v>24674.60593962999</v>
      </c>
    </row>
    <row r="12" spans="1:9" ht="24.75" thickBot="1">
      <c r="A12" s="35" t="s">
        <v>27</v>
      </c>
      <c r="B12" s="36">
        <f>SUM(B4:B11)</f>
        <v>730076249.3700001</v>
      </c>
      <c r="C12" s="245">
        <f>SUM(C4:C11)</f>
        <v>39593337.13</v>
      </c>
      <c r="D12" s="36">
        <f>SUM(D4:D11)</f>
        <v>20071675.439999998</v>
      </c>
      <c r="E12" s="36">
        <f>SUM(E4:E11)</f>
        <v>27579004.59</v>
      </c>
      <c r="F12" s="36">
        <f>SUM(F4:F11)</f>
        <v>817320266.5299997</v>
      </c>
      <c r="G12" s="37"/>
      <c r="H12" s="37"/>
      <c r="I12" s="37"/>
    </row>
    <row r="13" spans="1:6" ht="24.75" thickTop="1">
      <c r="A13" s="38"/>
      <c r="B13" s="39"/>
      <c r="C13" s="40"/>
      <c r="D13" s="39"/>
      <c r="E13" s="39"/>
      <c r="F13" s="39"/>
    </row>
    <row r="14" spans="1:6" ht="24">
      <c r="A14" s="27"/>
      <c r="B14" s="135"/>
      <c r="C14" s="136"/>
      <c r="D14" s="135"/>
      <c r="E14" s="135"/>
      <c r="F14" s="39"/>
    </row>
    <row r="15" spans="1:6" ht="24">
      <c r="A15" s="27"/>
      <c r="B15" s="29"/>
      <c r="C15" s="29"/>
      <c r="D15" s="29"/>
      <c r="E15" s="29"/>
      <c r="F15" s="29"/>
    </row>
    <row r="16" spans="1:6" ht="24">
      <c r="A16" s="27"/>
      <c r="B16" s="29"/>
      <c r="C16" s="29"/>
      <c r="D16" s="29"/>
      <c r="E16" s="29"/>
      <c r="F16" s="39"/>
    </row>
    <row r="17" spans="1:6" ht="24">
      <c r="A17" s="27"/>
      <c r="B17" s="29"/>
      <c r="C17" s="29"/>
      <c r="D17" s="29"/>
      <c r="E17" s="29"/>
      <c r="F17" s="39"/>
    </row>
    <row r="18" spans="1:6" ht="24">
      <c r="A18" s="27"/>
      <c r="B18" s="29"/>
      <c r="C18" s="54"/>
      <c r="D18" s="29"/>
      <c r="E18" s="29"/>
      <c r="F18" s="39"/>
    </row>
    <row r="19" spans="1:6" ht="24">
      <c r="A19" s="27"/>
      <c r="B19" s="29"/>
      <c r="C19" s="54"/>
      <c r="D19" s="29"/>
      <c r="E19" s="29"/>
      <c r="F19" s="39"/>
    </row>
    <row r="20" spans="1:6" ht="24">
      <c r="A20" s="27"/>
      <c r="B20" s="29"/>
      <c r="C20" s="54"/>
      <c r="D20" s="29"/>
      <c r="E20" s="29"/>
      <c r="F20" s="39"/>
    </row>
    <row r="21" spans="1:6" ht="24">
      <c r="A21" s="27"/>
      <c r="B21" s="135"/>
      <c r="C21" s="135"/>
      <c r="D21" s="135"/>
      <c r="E21" s="135"/>
      <c r="F21" s="139"/>
    </row>
    <row r="22" spans="1:6" ht="24">
      <c r="A22" s="27"/>
      <c r="B22" s="135"/>
      <c r="C22" s="136"/>
      <c r="D22" s="135"/>
      <c r="E22" s="135"/>
      <c r="F22" s="139"/>
    </row>
    <row r="23" spans="1:6" ht="24">
      <c r="A23" s="55"/>
      <c r="B23" s="136"/>
      <c r="C23" s="136"/>
      <c r="D23" s="136"/>
      <c r="E23" s="136"/>
      <c r="F23" s="139"/>
    </row>
    <row r="24" spans="2:6" ht="24">
      <c r="B24" s="168"/>
      <c r="C24" s="168"/>
      <c r="D24" s="168"/>
      <c r="E24" s="168"/>
      <c r="F24" s="168"/>
    </row>
    <row r="25" spans="2:6" ht="24">
      <c r="B25" s="168"/>
      <c r="C25" s="168"/>
      <c r="D25" s="168"/>
      <c r="E25" s="168"/>
      <c r="F25" s="168"/>
    </row>
    <row r="26" spans="2:6" ht="24">
      <c r="B26" s="168"/>
      <c r="C26" s="168"/>
      <c r="D26" s="168"/>
      <c r="E26" s="168"/>
      <c r="F26" s="168"/>
    </row>
    <row r="27" spans="2:6" ht="24">
      <c r="B27" s="168"/>
      <c r="C27" s="168"/>
      <c r="D27" s="168"/>
      <c r="E27" s="168"/>
      <c r="F27" s="168"/>
    </row>
  </sheetData>
  <sheetProtection/>
  <printOptions horizontalCentered="1"/>
  <pageMargins left="0" right="0" top="0.5905511811023623" bottom="0.5905511811023623" header="0.5118110236220472" footer="0.5118110236220472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31" zoomScalePageLayoutView="0" workbookViewId="0" topLeftCell="A1">
      <selection activeCell="A1" sqref="A1"/>
    </sheetView>
  </sheetViews>
  <sheetFormatPr defaultColWidth="9.140625" defaultRowHeight="12.75"/>
  <cols>
    <col min="1" max="1" width="32.421875" style="59" customWidth="1"/>
    <col min="2" max="2" width="16.421875" style="59" customWidth="1"/>
    <col min="3" max="3" width="17.140625" style="59" customWidth="1"/>
    <col min="4" max="4" width="15.7109375" style="59" customWidth="1"/>
    <col min="5" max="5" width="16.8515625" style="59" customWidth="1"/>
    <col min="6" max="6" width="17.57421875" style="59" customWidth="1"/>
    <col min="7" max="7" width="7.8515625" style="59" customWidth="1"/>
    <col min="8" max="8" width="9.00390625" style="59" bestFit="1" customWidth="1"/>
    <col min="9" max="9" width="16.57421875" style="59" customWidth="1"/>
    <col min="10" max="16384" width="9.140625" style="59" customWidth="1"/>
  </cols>
  <sheetData>
    <row r="1" spans="1:2" ht="23.25">
      <c r="A1" s="119" t="s">
        <v>74</v>
      </c>
      <c r="B1" s="77"/>
    </row>
    <row r="2" spans="1:9" ht="24">
      <c r="A2" s="77"/>
      <c r="B2" s="77"/>
      <c r="I2" s="1" t="s">
        <v>17</v>
      </c>
    </row>
    <row r="3" spans="1:9" s="63" customFormat="1" ht="23.25">
      <c r="A3" s="120" t="s">
        <v>20</v>
      </c>
      <c r="B3" s="60" t="s">
        <v>0</v>
      </c>
      <c r="C3" s="60" t="s">
        <v>1</v>
      </c>
      <c r="D3" s="60" t="s">
        <v>2</v>
      </c>
      <c r="E3" s="60" t="s">
        <v>3</v>
      </c>
      <c r="F3" s="60" t="s">
        <v>11</v>
      </c>
      <c r="G3" s="61" t="s">
        <v>9</v>
      </c>
      <c r="H3" s="61" t="s">
        <v>10</v>
      </c>
      <c r="I3" s="62" t="s">
        <v>12</v>
      </c>
    </row>
    <row r="4" spans="1:9" ht="46.5">
      <c r="A4" s="67" t="s">
        <v>97</v>
      </c>
      <c r="B4" s="64">
        <v>730076249.3700001</v>
      </c>
      <c r="C4" s="246">
        <v>39593337.13</v>
      </c>
      <c r="D4" s="64">
        <v>20071675.439999998</v>
      </c>
      <c r="E4" s="64">
        <v>27579004.59</v>
      </c>
      <c r="F4" s="64">
        <f>SUM(B4:E4)</f>
        <v>817320266.5300001</v>
      </c>
      <c r="G4" s="131">
        <v>616</v>
      </c>
      <c r="H4" s="65" t="s">
        <v>5</v>
      </c>
      <c r="I4" s="66">
        <f>F4/G4</f>
        <v>1326818.6144967533</v>
      </c>
    </row>
    <row r="5" spans="1:9" ht="24" thickBot="1">
      <c r="A5" s="121" t="s">
        <v>27</v>
      </c>
      <c r="B5" s="68">
        <f>SUM(B4:B4)</f>
        <v>730076249.3700001</v>
      </c>
      <c r="C5" s="247">
        <f>SUM(C4:C4)</f>
        <v>39593337.13</v>
      </c>
      <c r="D5" s="68">
        <f>SUM(D4:D4)</f>
        <v>20071675.439999998</v>
      </c>
      <c r="E5" s="68">
        <f>SUM(E4:E4)</f>
        <v>27579004.59</v>
      </c>
      <c r="F5" s="68">
        <f>SUM(B5:E5)</f>
        <v>817320266.5300001</v>
      </c>
      <c r="G5" s="69"/>
      <c r="H5" s="69"/>
      <c r="I5" s="69"/>
    </row>
    <row r="6" spans="1:6" ht="24" thickTop="1">
      <c r="A6" s="70"/>
      <c r="B6" s="70"/>
      <c r="C6" s="71"/>
      <c r="D6" s="70"/>
      <c r="E6" s="70"/>
      <c r="F6" s="70"/>
    </row>
    <row r="7" spans="1:6" ht="23.25">
      <c r="A7" s="70"/>
      <c r="B7" s="72"/>
      <c r="C7" s="73"/>
      <c r="D7" s="72"/>
      <c r="E7" s="73"/>
      <c r="F7" s="70"/>
    </row>
    <row r="8" spans="1:6" ht="23.25">
      <c r="A8" s="70"/>
      <c r="B8" s="74"/>
      <c r="C8" s="75"/>
      <c r="D8" s="74"/>
      <c r="E8" s="75"/>
      <c r="F8" s="70"/>
    </row>
    <row r="9" spans="1:6" ht="23.25">
      <c r="A9" s="70"/>
      <c r="B9" s="74"/>
      <c r="C9" s="75"/>
      <c r="D9" s="74"/>
      <c r="E9" s="75"/>
      <c r="F9" s="70"/>
    </row>
    <row r="10" spans="1:6" ht="23.25">
      <c r="A10" s="70"/>
      <c r="B10" s="74"/>
      <c r="C10" s="75"/>
      <c r="D10" s="74"/>
      <c r="E10" s="75"/>
      <c r="F10" s="70"/>
    </row>
    <row r="11" spans="1:6" ht="23.25">
      <c r="A11" s="70"/>
      <c r="B11" s="74"/>
      <c r="C11" s="75"/>
      <c r="D11" s="74"/>
      <c r="E11" s="75"/>
      <c r="F11" s="70"/>
    </row>
    <row r="12" spans="1:6" ht="23.25">
      <c r="A12" s="70"/>
      <c r="B12" s="74"/>
      <c r="C12" s="75"/>
      <c r="D12" s="74"/>
      <c r="E12" s="75"/>
      <c r="F12" s="70"/>
    </row>
    <row r="13" spans="1:6" ht="23.25">
      <c r="A13" s="70"/>
      <c r="B13" s="74"/>
      <c r="C13" s="75"/>
      <c r="D13" s="74"/>
      <c r="E13" s="75"/>
      <c r="F13" s="70"/>
    </row>
    <row r="14" spans="1:6" ht="23.25">
      <c r="A14" s="70"/>
      <c r="B14" s="74"/>
      <c r="C14" s="75"/>
      <c r="D14" s="74"/>
      <c r="E14" s="75"/>
      <c r="F14" s="70"/>
    </row>
    <row r="15" spans="1:6" ht="23.25">
      <c r="A15" s="70"/>
      <c r="B15" s="74"/>
      <c r="C15" s="75"/>
      <c r="D15" s="74"/>
      <c r="E15" s="75"/>
      <c r="F15" s="70"/>
    </row>
    <row r="16" spans="1:6" ht="23.25">
      <c r="A16" s="70"/>
      <c r="B16" s="74"/>
      <c r="C16" s="75"/>
      <c r="D16" s="74"/>
      <c r="E16" s="75"/>
      <c r="F16" s="70"/>
    </row>
    <row r="17" spans="1:6" ht="23.25">
      <c r="A17" s="70"/>
      <c r="B17" s="74"/>
      <c r="C17" s="75"/>
      <c r="D17" s="74"/>
      <c r="E17" s="75"/>
      <c r="F17" s="70"/>
    </row>
    <row r="18" spans="1:6" ht="23.25">
      <c r="A18" s="70"/>
      <c r="B18" s="74"/>
      <c r="C18" s="75"/>
      <c r="D18" s="74"/>
      <c r="E18" s="75"/>
      <c r="F18" s="70"/>
    </row>
    <row r="19" spans="1:6" ht="23.25">
      <c r="A19" s="70"/>
      <c r="B19" s="74"/>
      <c r="C19" s="75"/>
      <c r="D19" s="74"/>
      <c r="E19" s="75"/>
      <c r="F19" s="70"/>
    </row>
    <row r="20" spans="1:6" ht="23.25">
      <c r="A20" s="70"/>
      <c r="B20" s="74"/>
      <c r="C20" s="75"/>
      <c r="D20" s="74"/>
      <c r="E20" s="75"/>
      <c r="F20" s="70"/>
    </row>
    <row r="21" spans="1:6" ht="23.25">
      <c r="A21" s="70"/>
      <c r="B21" s="74"/>
      <c r="C21" s="75"/>
      <c r="D21" s="74"/>
      <c r="E21" s="75"/>
      <c r="F21" s="70"/>
    </row>
    <row r="22" spans="1:6" ht="23.25">
      <c r="A22" s="70"/>
      <c r="B22" s="74"/>
      <c r="C22" s="75"/>
      <c r="D22" s="74"/>
      <c r="E22" s="75"/>
      <c r="F22" s="70"/>
    </row>
    <row r="23" spans="1:6" ht="23.25">
      <c r="A23" s="70"/>
      <c r="B23" s="74"/>
      <c r="C23" s="75"/>
      <c r="D23" s="74"/>
      <c r="E23" s="75"/>
      <c r="F23" s="70"/>
    </row>
    <row r="24" spans="1:6" ht="23.25">
      <c r="A24" s="70"/>
      <c r="B24" s="74"/>
      <c r="C24" s="75"/>
      <c r="D24" s="74"/>
      <c r="E24" s="75"/>
      <c r="F24" s="70"/>
    </row>
    <row r="25" spans="1:6" ht="23.25">
      <c r="A25" s="70"/>
      <c r="B25" s="74"/>
      <c r="C25" s="75"/>
      <c r="D25" s="74"/>
      <c r="E25" s="75"/>
      <c r="F25" s="70"/>
    </row>
    <row r="26" spans="1:6" ht="23.25">
      <c r="A26" s="70"/>
      <c r="B26" s="74"/>
      <c r="C26" s="75"/>
      <c r="D26" s="74"/>
      <c r="E26" s="75"/>
      <c r="F26" s="70"/>
    </row>
    <row r="27" spans="1:6" ht="23.25">
      <c r="A27" s="71"/>
      <c r="B27" s="74"/>
      <c r="C27" s="75"/>
      <c r="D27" s="74"/>
      <c r="E27" s="75"/>
      <c r="F27" s="76"/>
    </row>
    <row r="28" spans="1:6" ht="23.25">
      <c r="A28" s="71"/>
      <c r="B28" s="74"/>
      <c r="C28" s="75"/>
      <c r="D28" s="74"/>
      <c r="E28" s="75"/>
      <c r="F28" s="76"/>
    </row>
    <row r="29" spans="1:6" ht="23.25">
      <c r="A29" s="71"/>
      <c r="B29" s="74"/>
      <c r="C29" s="75"/>
      <c r="D29" s="74"/>
      <c r="E29" s="75"/>
      <c r="F29" s="76"/>
    </row>
    <row r="30" spans="1:6" ht="23.25">
      <c r="A30" s="71"/>
      <c r="B30" s="74"/>
      <c r="C30" s="75"/>
      <c r="D30" s="74"/>
      <c r="E30" s="75"/>
      <c r="F30" s="76"/>
    </row>
    <row r="31" spans="2:6" ht="23.25">
      <c r="B31" s="74"/>
      <c r="C31" s="75"/>
      <c r="D31" s="74"/>
      <c r="E31" s="75"/>
      <c r="F31" s="77"/>
    </row>
    <row r="32" spans="2:6" ht="23.25">
      <c r="B32" s="74"/>
      <c r="C32" s="75"/>
      <c r="D32" s="74"/>
      <c r="E32" s="75"/>
      <c r="F32" s="77"/>
    </row>
    <row r="33" spans="2:6" ht="23.25">
      <c r="B33" s="74"/>
      <c r="C33" s="75"/>
      <c r="D33" s="74"/>
      <c r="E33" s="75"/>
      <c r="F33" s="77"/>
    </row>
    <row r="34" spans="2:6" ht="23.25">
      <c r="B34" s="74"/>
      <c r="C34" s="75"/>
      <c r="D34" s="74"/>
      <c r="E34" s="75"/>
      <c r="F34" s="77"/>
    </row>
    <row r="35" spans="2:6" ht="23.25">
      <c r="B35" s="77"/>
      <c r="C35" s="77"/>
      <c r="D35" s="77"/>
      <c r="E35" s="77"/>
      <c r="F35" s="77"/>
    </row>
    <row r="36" spans="2:6" ht="23.25">
      <c r="B36" s="77"/>
      <c r="C36" s="77"/>
      <c r="D36" s="77"/>
      <c r="E36" s="77"/>
      <c r="F36" s="77"/>
    </row>
    <row r="37" spans="2:6" ht="23.25">
      <c r="B37" s="77"/>
      <c r="C37" s="77"/>
      <c r="D37" s="77"/>
      <c r="E37" s="77"/>
      <c r="F37" s="77"/>
    </row>
    <row r="38" spans="2:6" ht="23.25">
      <c r="B38" s="77"/>
      <c r="C38" s="77"/>
      <c r="D38" s="77"/>
      <c r="E38" s="77"/>
      <c r="F38" s="77"/>
    </row>
    <row r="39" spans="2:6" ht="23.25">
      <c r="B39" s="77"/>
      <c r="C39" s="77"/>
      <c r="D39" s="77"/>
      <c r="E39" s="77"/>
      <c r="F39" s="77"/>
    </row>
    <row r="40" spans="2:6" ht="23.25">
      <c r="B40" s="77"/>
      <c r="C40" s="77"/>
      <c r="D40" s="77"/>
      <c r="E40" s="77"/>
      <c r="F40" s="77"/>
    </row>
    <row r="41" spans="2:6" ht="23.25">
      <c r="B41" s="77"/>
      <c r="C41" s="77"/>
      <c r="D41" s="77"/>
      <c r="E41" s="77"/>
      <c r="F41" s="77"/>
    </row>
    <row r="42" spans="2:6" ht="23.25">
      <c r="B42" s="77"/>
      <c r="C42" s="77"/>
      <c r="D42" s="77"/>
      <c r="E42" s="77"/>
      <c r="F42" s="77"/>
    </row>
  </sheetData>
  <sheetProtection/>
  <printOptions horizontalCentered="1"/>
  <pageMargins left="0" right="0" top="0.590551181102362" bottom="0" header="0.511811023622047" footer="0.511811023622047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0"/>
  <sheetViews>
    <sheetView zoomScale="90" zoomScaleNormal="90" zoomScaleSheetLayoutView="131" zoomScalePageLayoutView="0" workbookViewId="0" topLeftCell="A1">
      <pane xSplit="2" ySplit="4" topLeftCell="H41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51" sqref="B51"/>
    </sheetView>
  </sheetViews>
  <sheetFormatPr defaultColWidth="14.57421875" defaultRowHeight="12.75"/>
  <cols>
    <col min="1" max="1" width="4.57421875" style="250" customWidth="1"/>
    <col min="2" max="2" width="57.421875" style="24" customWidth="1"/>
    <col min="3" max="3" width="16.140625" style="24" bestFit="1" customWidth="1"/>
    <col min="4" max="4" width="17.28125" style="24" bestFit="1" customWidth="1"/>
    <col min="5" max="5" width="15.00390625" style="24" bestFit="1" customWidth="1"/>
    <col min="6" max="6" width="15.00390625" style="24" customWidth="1"/>
    <col min="7" max="7" width="16.140625" style="24" bestFit="1" customWidth="1"/>
    <col min="8" max="8" width="16.140625" style="116" bestFit="1" customWidth="1"/>
    <col min="9" max="9" width="19.140625" style="24" bestFit="1" customWidth="1"/>
    <col min="10" max="10" width="14.00390625" style="168" bestFit="1" customWidth="1"/>
    <col min="11" max="11" width="16.8515625" style="146" bestFit="1" customWidth="1"/>
    <col min="12" max="12" width="18.00390625" style="146" bestFit="1" customWidth="1"/>
    <col min="13" max="13" width="17.00390625" style="146" bestFit="1" customWidth="1"/>
    <col min="14" max="14" width="15.7109375" style="146" bestFit="1" customWidth="1"/>
    <col min="15" max="15" width="16.8515625" style="146" bestFit="1" customWidth="1"/>
    <col min="16" max="16" width="13.421875" style="280" bestFit="1" customWidth="1"/>
    <col min="17" max="17" width="19.140625" style="26" bestFit="1" customWidth="1"/>
    <col min="18" max="18" width="13.8515625" style="26" bestFit="1" customWidth="1"/>
    <col min="19" max="19" width="11.421875" style="599" bestFit="1" customWidth="1"/>
    <col min="20" max="20" width="13.421875" style="599" bestFit="1" customWidth="1"/>
    <col min="21" max="21" width="14.00390625" style="599" bestFit="1" customWidth="1"/>
    <col min="22" max="22" width="15.00390625" style="24" bestFit="1" customWidth="1"/>
    <col min="23" max="16384" width="14.57421875" style="24" customWidth="1"/>
  </cols>
  <sheetData>
    <row r="1" spans="2:21" ht="27.75">
      <c r="B1" s="624" t="s">
        <v>388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</row>
    <row r="2" spans="1:21" s="14" customFormat="1" ht="30.75" customHeight="1">
      <c r="A2" s="251"/>
      <c r="B2" s="13" t="s">
        <v>75</v>
      </c>
      <c r="H2" s="256"/>
      <c r="J2" s="170"/>
      <c r="K2" s="218"/>
      <c r="L2" s="218"/>
      <c r="M2" s="218"/>
      <c r="N2" s="218"/>
      <c r="O2" s="218"/>
      <c r="P2" s="273"/>
      <c r="Q2" s="150"/>
      <c r="R2" s="150"/>
      <c r="S2" s="625" t="s">
        <v>103</v>
      </c>
      <c r="T2" s="626"/>
      <c r="U2" s="626"/>
    </row>
    <row r="3" spans="1:21" s="14" customFormat="1" ht="24">
      <c r="A3" s="252"/>
      <c r="B3" s="627" t="s">
        <v>14</v>
      </c>
      <c r="C3" s="629" t="s">
        <v>350</v>
      </c>
      <c r="D3" s="630"/>
      <c r="E3" s="630"/>
      <c r="F3" s="630"/>
      <c r="G3" s="630"/>
      <c r="H3" s="630"/>
      <c r="I3" s="630"/>
      <c r="J3" s="631"/>
      <c r="K3" s="629" t="s">
        <v>389</v>
      </c>
      <c r="L3" s="630"/>
      <c r="M3" s="630"/>
      <c r="N3" s="630"/>
      <c r="O3" s="630"/>
      <c r="P3" s="630"/>
      <c r="Q3" s="630"/>
      <c r="R3" s="631"/>
      <c r="S3" s="632" t="s">
        <v>46</v>
      </c>
      <c r="T3" s="633"/>
      <c r="U3" s="634"/>
    </row>
    <row r="4" spans="1:21" s="18" customFormat="1" ht="48">
      <c r="A4" s="253"/>
      <c r="B4" s="628"/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71" t="s">
        <v>12</v>
      </c>
      <c r="K4" s="268" t="s">
        <v>0</v>
      </c>
      <c r="L4" s="171" t="s">
        <v>1</v>
      </c>
      <c r="M4" s="171" t="s">
        <v>2</v>
      </c>
      <c r="N4" s="171" t="s">
        <v>3</v>
      </c>
      <c r="O4" s="171" t="s">
        <v>11</v>
      </c>
      <c r="P4" s="272" t="s">
        <v>9</v>
      </c>
      <c r="Q4" s="16" t="s">
        <v>10</v>
      </c>
      <c r="R4" s="17" t="s">
        <v>12</v>
      </c>
      <c r="S4" s="592" t="s">
        <v>43</v>
      </c>
      <c r="T4" s="592" t="s">
        <v>44</v>
      </c>
      <c r="U4" s="593" t="s">
        <v>45</v>
      </c>
    </row>
    <row r="5" spans="1:21" s="21" customFormat="1" ht="24">
      <c r="A5" s="254"/>
      <c r="B5" s="248" t="s">
        <v>15</v>
      </c>
      <c r="C5" s="78"/>
      <c r="D5" s="78"/>
      <c r="E5" s="78"/>
      <c r="F5" s="78"/>
      <c r="G5" s="78"/>
      <c r="H5" s="257"/>
      <c r="I5" s="78"/>
      <c r="J5" s="172"/>
      <c r="K5" s="269"/>
      <c r="L5" s="269"/>
      <c r="M5" s="269"/>
      <c r="N5" s="269"/>
      <c r="O5" s="269"/>
      <c r="P5" s="274"/>
      <c r="Q5" s="270"/>
      <c r="R5" s="270"/>
      <c r="S5" s="594"/>
      <c r="T5" s="594"/>
      <c r="U5" s="595"/>
    </row>
    <row r="6" spans="1:21" s="21" customFormat="1" ht="24">
      <c r="A6" s="254">
        <v>1</v>
      </c>
      <c r="B6" s="213" t="s">
        <v>247</v>
      </c>
      <c r="C6" s="105">
        <v>11692693.45</v>
      </c>
      <c r="D6" s="105">
        <v>24676.87</v>
      </c>
      <c r="E6" s="105">
        <v>1499548.7</v>
      </c>
      <c r="F6" s="105">
        <v>35734.91</v>
      </c>
      <c r="G6" s="22">
        <f>SUM(C6:F6)</f>
        <v>13252653.929999998</v>
      </c>
      <c r="H6" s="260">
        <v>65</v>
      </c>
      <c r="I6" s="80" t="s">
        <v>4</v>
      </c>
      <c r="J6" s="79">
        <f>+G6/H6</f>
        <v>203886.9835384615</v>
      </c>
      <c r="K6" s="22">
        <v>4565909.58</v>
      </c>
      <c r="L6" s="22">
        <v>10830.65</v>
      </c>
      <c r="M6" s="22">
        <v>196372.64</v>
      </c>
      <c r="N6" s="22">
        <v>18583.93</v>
      </c>
      <c r="O6" s="22">
        <f>+K6+L6+M6+N6</f>
        <v>4791696.8</v>
      </c>
      <c r="P6" s="264">
        <v>32</v>
      </c>
      <c r="Q6" s="80" t="s">
        <v>4</v>
      </c>
      <c r="R6" s="79">
        <f aca="true" t="shared" si="0" ref="R6:R11">+O6/P6</f>
        <v>149740.525</v>
      </c>
      <c r="S6" s="596">
        <f aca="true" t="shared" si="1" ref="S6:T9">(O6-G6)*100/G6</f>
        <v>-63.84349259167594</v>
      </c>
      <c r="T6" s="596">
        <f t="shared" si="1"/>
        <v>-50.76923076923077</v>
      </c>
      <c r="U6" s="596">
        <f>(R6-J6)*100/J6</f>
        <v>-26.557094326841735</v>
      </c>
    </row>
    <row r="7" spans="1:21" s="21" customFormat="1" ht="24">
      <c r="A7" s="254">
        <f>+A6+1</f>
        <v>2</v>
      </c>
      <c r="B7" s="213" t="s">
        <v>248</v>
      </c>
      <c r="C7" s="105">
        <v>9094317.12</v>
      </c>
      <c r="D7" s="105">
        <v>19193.13</v>
      </c>
      <c r="E7" s="105">
        <v>1166315.68</v>
      </c>
      <c r="F7" s="105">
        <v>27793.8</v>
      </c>
      <c r="G7" s="22">
        <f>SUM(C7:F7)</f>
        <v>10307619.73</v>
      </c>
      <c r="H7" s="260">
        <v>50</v>
      </c>
      <c r="I7" s="80" t="s">
        <v>4</v>
      </c>
      <c r="J7" s="79">
        <f aca="true" t="shared" si="2" ref="J7:J54">+G7/H7</f>
        <v>206152.3946</v>
      </c>
      <c r="K7" s="22">
        <v>4565909.58</v>
      </c>
      <c r="L7" s="22">
        <v>10830.65</v>
      </c>
      <c r="M7" s="22">
        <v>196372.64</v>
      </c>
      <c r="N7" s="22">
        <v>18583.93</v>
      </c>
      <c r="O7" s="22">
        <f aca="true" t="shared" si="3" ref="O7:O54">+K7+L7+M7+N7</f>
        <v>4791696.8</v>
      </c>
      <c r="P7" s="264">
        <v>33</v>
      </c>
      <c r="Q7" s="80" t="s">
        <v>4</v>
      </c>
      <c r="R7" s="79">
        <f t="shared" si="0"/>
        <v>145202.93333333332</v>
      </c>
      <c r="S7" s="596">
        <f t="shared" si="1"/>
        <v>-53.51306193364975</v>
      </c>
      <c r="T7" s="596">
        <f t="shared" si="1"/>
        <v>-34</v>
      </c>
      <c r="U7" s="596">
        <f>(R7-J7)*100/J7</f>
        <v>-29.565245354014763</v>
      </c>
    </row>
    <row r="8" spans="1:21" s="21" customFormat="1" ht="24">
      <c r="A8" s="254">
        <f aca="true" t="shared" si="4" ref="A8:A28">+A7+1</f>
        <v>3</v>
      </c>
      <c r="B8" s="213" t="s">
        <v>249</v>
      </c>
      <c r="C8" s="105">
        <v>3897564.48</v>
      </c>
      <c r="D8" s="105">
        <v>8225.63</v>
      </c>
      <c r="E8" s="105">
        <v>499849.58</v>
      </c>
      <c r="F8" s="105">
        <v>11911.63</v>
      </c>
      <c r="G8" s="22">
        <f>SUM(C8:F8)</f>
        <v>4417551.319999999</v>
      </c>
      <c r="H8" s="260">
        <v>19</v>
      </c>
      <c r="I8" s="80" t="s">
        <v>4</v>
      </c>
      <c r="J8" s="79">
        <f t="shared" si="2"/>
        <v>232502.70105263154</v>
      </c>
      <c r="K8" s="22">
        <v>2344656.27</v>
      </c>
      <c r="L8" s="22">
        <v>5561.68</v>
      </c>
      <c r="M8" s="22">
        <v>100840.01</v>
      </c>
      <c r="N8" s="22">
        <v>9543.1</v>
      </c>
      <c r="O8" s="22">
        <f t="shared" si="3"/>
        <v>2460601.06</v>
      </c>
      <c r="P8" s="264">
        <v>17</v>
      </c>
      <c r="Q8" s="80" t="s">
        <v>4</v>
      </c>
      <c r="R8" s="79">
        <f t="shared" si="0"/>
        <v>144741.23882352942</v>
      </c>
      <c r="S8" s="596">
        <f t="shared" si="1"/>
        <v>-44.29943464697541</v>
      </c>
      <c r="T8" s="596">
        <f t="shared" si="1"/>
        <v>-10.526315789473685</v>
      </c>
      <c r="U8" s="596">
        <f>(R8-J8)*100/J8</f>
        <v>-37.746426958384276</v>
      </c>
    </row>
    <row r="9" spans="1:21" s="21" customFormat="1" ht="24">
      <c r="A9" s="254">
        <f t="shared" si="4"/>
        <v>4</v>
      </c>
      <c r="B9" s="213" t="s">
        <v>250</v>
      </c>
      <c r="C9" s="173">
        <v>37630143.769999996</v>
      </c>
      <c r="D9" s="173">
        <v>111443.69</v>
      </c>
      <c r="E9" s="173">
        <v>11293299.17</v>
      </c>
      <c r="F9" s="173">
        <v>2125049.23</v>
      </c>
      <c r="G9" s="22">
        <f>SUM(C9:F9)</f>
        <v>51159935.85999999</v>
      </c>
      <c r="H9" s="260">
        <v>25</v>
      </c>
      <c r="I9" s="288" t="s">
        <v>4</v>
      </c>
      <c r="J9" s="79">
        <f t="shared" si="2"/>
        <v>2046397.4343999997</v>
      </c>
      <c r="K9" s="550">
        <v>33471268.279999997</v>
      </c>
      <c r="L9" s="550">
        <v>85558.9</v>
      </c>
      <c r="M9" s="550">
        <v>1809003.01</v>
      </c>
      <c r="N9" s="550">
        <v>2378167.1599999997</v>
      </c>
      <c r="O9" s="22">
        <f t="shared" si="3"/>
        <v>37743997.349999994</v>
      </c>
      <c r="P9" s="264">
        <v>18</v>
      </c>
      <c r="Q9" s="333" t="s">
        <v>4</v>
      </c>
      <c r="R9" s="79">
        <f t="shared" si="0"/>
        <v>2096888.7416666662</v>
      </c>
      <c r="S9" s="596">
        <f t="shared" si="1"/>
        <v>-26.223524882269075</v>
      </c>
      <c r="T9" s="596">
        <f t="shared" si="1"/>
        <v>-28</v>
      </c>
      <c r="U9" s="596">
        <f>(R9-J9)*100/J9</f>
        <v>2.4673265524040553</v>
      </c>
    </row>
    <row r="10" spans="1:21" s="21" customFormat="1" ht="24">
      <c r="A10" s="254">
        <f t="shared" si="4"/>
        <v>5</v>
      </c>
      <c r="B10" s="213" t="s">
        <v>289</v>
      </c>
      <c r="C10" s="105">
        <v>283231031.44</v>
      </c>
      <c r="D10" s="105">
        <v>4194424.359999999</v>
      </c>
      <c r="E10" s="105">
        <v>3948231.3</v>
      </c>
      <c r="F10" s="105">
        <v>4368846.54</v>
      </c>
      <c r="G10" s="22">
        <f>SUM(C10:F10)</f>
        <v>295742533.64000005</v>
      </c>
      <c r="H10" s="260">
        <v>118</v>
      </c>
      <c r="I10" s="333" t="s">
        <v>4</v>
      </c>
      <c r="J10" s="79">
        <f t="shared" si="2"/>
        <v>2506292.657966102</v>
      </c>
      <c r="K10" s="22">
        <v>267638932.5</v>
      </c>
      <c r="L10" s="22">
        <v>3237329.21</v>
      </c>
      <c r="M10" s="22">
        <v>1385679.91</v>
      </c>
      <c r="N10" s="22">
        <v>4026118.55</v>
      </c>
      <c r="O10" s="22">
        <f t="shared" si="3"/>
        <v>276288060.17</v>
      </c>
      <c r="P10" s="264">
        <v>121</v>
      </c>
      <c r="Q10" s="333" t="s">
        <v>4</v>
      </c>
      <c r="R10" s="79">
        <f t="shared" si="0"/>
        <v>2283372.398099174</v>
      </c>
      <c r="S10" s="596">
        <f aca="true" t="shared" si="5" ref="S10:S19">(O10-G10)*100/G10</f>
        <v>-6.578179077102744</v>
      </c>
      <c r="T10" s="596">
        <f aca="true" t="shared" si="6" ref="T10:T18">(P10-H10)*100/H10</f>
        <v>2.542372881355932</v>
      </c>
      <c r="U10" s="596">
        <f aca="true" t="shared" si="7" ref="U10:U19">(R10-J10)*100/J10</f>
        <v>-8.894422571058868</v>
      </c>
    </row>
    <row r="11" spans="1:21" s="21" customFormat="1" ht="48">
      <c r="A11" s="254">
        <f t="shared" si="4"/>
        <v>6</v>
      </c>
      <c r="B11" s="249" t="s">
        <v>379</v>
      </c>
      <c r="C11" s="173">
        <v>0</v>
      </c>
      <c r="D11" s="173">
        <v>0</v>
      </c>
      <c r="E11" s="173">
        <v>0</v>
      </c>
      <c r="F11" s="173">
        <v>0</v>
      </c>
      <c r="G11" s="22">
        <v>0</v>
      </c>
      <c r="H11" s="22">
        <v>0</v>
      </c>
      <c r="I11" s="557" t="s">
        <v>4</v>
      </c>
      <c r="J11" s="547">
        <v>0</v>
      </c>
      <c r="K11" s="22">
        <v>41407416.83</v>
      </c>
      <c r="L11" s="22">
        <v>93840.19</v>
      </c>
      <c r="M11" s="22">
        <v>43961782.61</v>
      </c>
      <c r="N11" s="22">
        <v>182966.73</v>
      </c>
      <c r="O11" s="22">
        <f>+K11+L11+M11+N11</f>
        <v>85646006.36</v>
      </c>
      <c r="P11" s="264">
        <v>13</v>
      </c>
      <c r="Q11" s="557" t="s">
        <v>4</v>
      </c>
      <c r="R11" s="271">
        <f t="shared" si="0"/>
        <v>6588154.335384616</v>
      </c>
      <c r="S11" s="596">
        <v>100</v>
      </c>
      <c r="T11" s="596">
        <v>100</v>
      </c>
      <c r="U11" s="596">
        <v>100</v>
      </c>
    </row>
    <row r="12" spans="1:22" s="21" customFormat="1" ht="24">
      <c r="A12" s="254">
        <f>+A11+1</f>
        <v>7</v>
      </c>
      <c r="B12" s="213" t="s">
        <v>290</v>
      </c>
      <c r="C12" s="105">
        <v>32799635.986173</v>
      </c>
      <c r="D12" s="105">
        <v>165419.47826099998</v>
      </c>
      <c r="E12" s="105">
        <v>6749745.572022</v>
      </c>
      <c r="F12" s="105">
        <v>76902.317778</v>
      </c>
      <c r="G12" s="22">
        <f>SUM(C12:F12)</f>
        <v>39791703.354234</v>
      </c>
      <c r="H12" s="260">
        <v>1079</v>
      </c>
      <c r="I12" s="80" t="s">
        <v>4</v>
      </c>
      <c r="J12" s="79">
        <f t="shared" si="2"/>
        <v>36878.316361662655</v>
      </c>
      <c r="K12" s="22">
        <v>23980374.55</v>
      </c>
      <c r="L12" s="22">
        <v>53268.75</v>
      </c>
      <c r="M12" s="22">
        <v>35830612.73</v>
      </c>
      <c r="N12" s="22">
        <v>109510.41</v>
      </c>
      <c r="O12" s="22">
        <f t="shared" si="3"/>
        <v>59973766.44</v>
      </c>
      <c r="P12" s="264">
        <v>7435</v>
      </c>
      <c r="Q12" s="80" t="s">
        <v>4</v>
      </c>
      <c r="R12" s="79">
        <f>+O12/P12</f>
        <v>8066.411088096839</v>
      </c>
      <c r="S12" s="596">
        <f t="shared" si="5"/>
        <v>50.71927408108439</v>
      </c>
      <c r="T12" s="596">
        <v>100</v>
      </c>
      <c r="U12" s="596">
        <f t="shared" si="7"/>
        <v>-78.1269540371903</v>
      </c>
      <c r="V12" s="137"/>
    </row>
    <row r="13" spans="1:22" s="21" customFormat="1" ht="24">
      <c r="A13" s="254">
        <f t="shared" si="4"/>
        <v>8</v>
      </c>
      <c r="B13" s="213" t="s">
        <v>368</v>
      </c>
      <c r="C13" s="551">
        <v>475937.2186765001</v>
      </c>
      <c r="D13" s="551">
        <v>2400.3097605000003</v>
      </c>
      <c r="E13" s="551">
        <v>97941.79227100001</v>
      </c>
      <c r="F13" s="551">
        <v>1115.886629</v>
      </c>
      <c r="G13" s="22">
        <f aca="true" t="shared" si="8" ref="G13:G54">SUM(C13:F13)</f>
        <v>577395.207337</v>
      </c>
      <c r="H13" s="260">
        <v>834</v>
      </c>
      <c r="I13" s="80" t="s">
        <v>327</v>
      </c>
      <c r="J13" s="79">
        <f t="shared" si="2"/>
        <v>692.3203924904077</v>
      </c>
      <c r="K13" s="22">
        <v>215096.69</v>
      </c>
      <c r="L13" s="22">
        <v>477.8</v>
      </c>
      <c r="M13" s="22">
        <v>321389.74</v>
      </c>
      <c r="N13" s="22">
        <v>982.28</v>
      </c>
      <c r="O13" s="22">
        <f t="shared" si="3"/>
        <v>537946.51</v>
      </c>
      <c r="P13" s="264">
        <v>804</v>
      </c>
      <c r="Q13" s="80" t="s">
        <v>327</v>
      </c>
      <c r="R13" s="79">
        <f aca="true" t="shared" si="9" ref="R13:R23">+O13/P13</f>
        <v>669.0876990049751</v>
      </c>
      <c r="S13" s="596">
        <f t="shared" si="5"/>
        <v>-6.83218302398821</v>
      </c>
      <c r="T13" s="596">
        <f t="shared" si="6"/>
        <v>-3.597122302158273</v>
      </c>
      <c r="U13" s="596">
        <f t="shared" si="7"/>
        <v>-3.3557719427937407</v>
      </c>
      <c r="V13" s="137"/>
    </row>
    <row r="14" spans="1:22" s="21" customFormat="1" ht="24">
      <c r="A14" s="254">
        <f t="shared" si="4"/>
        <v>9</v>
      </c>
      <c r="B14" s="213" t="s">
        <v>253</v>
      </c>
      <c r="C14" s="105">
        <v>5217517.359883499</v>
      </c>
      <c r="D14" s="105">
        <v>26313.6761595</v>
      </c>
      <c r="E14" s="105">
        <v>1073698.339569</v>
      </c>
      <c r="F14" s="105">
        <v>12233.037530999998</v>
      </c>
      <c r="G14" s="22">
        <f t="shared" si="8"/>
        <v>6329762.413143</v>
      </c>
      <c r="H14" s="260">
        <v>28</v>
      </c>
      <c r="I14" s="80" t="s">
        <v>4</v>
      </c>
      <c r="J14" s="79">
        <f t="shared" si="2"/>
        <v>226062.9433265357</v>
      </c>
      <c r="K14" s="22">
        <v>1845762.16</v>
      </c>
      <c r="L14" s="22">
        <v>4100.08</v>
      </c>
      <c r="M14" s="22">
        <v>2757871.4</v>
      </c>
      <c r="N14" s="22">
        <v>8428.98</v>
      </c>
      <c r="O14" s="22">
        <f t="shared" si="3"/>
        <v>4616162.62</v>
      </c>
      <c r="P14" s="264">
        <v>62</v>
      </c>
      <c r="Q14" s="80" t="s">
        <v>4</v>
      </c>
      <c r="R14" s="79">
        <f t="shared" si="9"/>
        <v>74454.23580645162</v>
      </c>
      <c r="S14" s="596">
        <f t="shared" si="5"/>
        <v>-27.072102889437257</v>
      </c>
      <c r="T14" s="596">
        <v>100</v>
      </c>
      <c r="U14" s="596">
        <f t="shared" si="7"/>
        <v>-67.06482065974586</v>
      </c>
      <c r="V14" s="137"/>
    </row>
    <row r="15" spans="1:22" s="21" customFormat="1" ht="24">
      <c r="A15" s="254">
        <f t="shared" si="4"/>
        <v>10</v>
      </c>
      <c r="B15" s="213" t="s">
        <v>254</v>
      </c>
      <c r="C15" s="105">
        <v>3634025.3052215003</v>
      </c>
      <c r="D15" s="105">
        <v>18327.5988255</v>
      </c>
      <c r="E15" s="105">
        <v>747835.9279010001</v>
      </c>
      <c r="F15" s="105">
        <v>8520.367999</v>
      </c>
      <c r="G15" s="22">
        <f t="shared" si="8"/>
        <v>4408709.199947</v>
      </c>
      <c r="H15" s="260">
        <v>83</v>
      </c>
      <c r="I15" s="80" t="s">
        <v>4</v>
      </c>
      <c r="J15" s="79">
        <f t="shared" si="2"/>
        <v>53116.978312614454</v>
      </c>
      <c r="K15" s="22">
        <v>1366154.67</v>
      </c>
      <c r="L15" s="22">
        <v>3034.7</v>
      </c>
      <c r="M15" s="22">
        <v>2041259.15</v>
      </c>
      <c r="N15" s="22">
        <v>6238.78</v>
      </c>
      <c r="O15" s="22">
        <f t="shared" si="3"/>
        <v>3416687.2999999993</v>
      </c>
      <c r="P15" s="264">
        <v>64</v>
      </c>
      <c r="Q15" s="80" t="s">
        <v>4</v>
      </c>
      <c r="R15" s="79">
        <f t="shared" si="9"/>
        <v>53385.73906249999</v>
      </c>
      <c r="S15" s="596">
        <f t="shared" si="5"/>
        <v>-22.501413791567973</v>
      </c>
      <c r="T15" s="596">
        <f t="shared" si="6"/>
        <v>-22.89156626506024</v>
      </c>
      <c r="U15" s="596">
        <f t="shared" si="7"/>
        <v>0.5059789890602822</v>
      </c>
      <c r="V15" s="137"/>
    </row>
    <row r="16" spans="1:22" s="21" customFormat="1" ht="24">
      <c r="A16" s="254">
        <f t="shared" si="4"/>
        <v>11</v>
      </c>
      <c r="B16" s="213" t="s">
        <v>255</v>
      </c>
      <c r="C16" s="105">
        <v>409217.0478340001</v>
      </c>
      <c r="D16" s="105">
        <v>2063.817738</v>
      </c>
      <c r="E16" s="105">
        <v>84211.63447600002</v>
      </c>
      <c r="F16" s="105">
        <v>959.4539240000001</v>
      </c>
      <c r="G16" s="22">
        <f t="shared" si="8"/>
        <v>496451.9539720001</v>
      </c>
      <c r="H16" s="260">
        <v>60</v>
      </c>
      <c r="I16" s="80" t="s">
        <v>4</v>
      </c>
      <c r="J16" s="79">
        <f t="shared" si="2"/>
        <v>8274.19923286667</v>
      </c>
      <c r="K16" s="22">
        <v>209283.27</v>
      </c>
      <c r="L16" s="22">
        <v>464.89</v>
      </c>
      <c r="M16" s="22">
        <v>312703.53</v>
      </c>
      <c r="N16" s="22">
        <v>955.73</v>
      </c>
      <c r="O16" s="22">
        <f t="shared" si="3"/>
        <v>523407.42000000004</v>
      </c>
      <c r="P16" s="264">
        <v>60</v>
      </c>
      <c r="Q16" s="80" t="s">
        <v>4</v>
      </c>
      <c r="R16" s="79">
        <f t="shared" si="9"/>
        <v>8723.457</v>
      </c>
      <c r="S16" s="596">
        <f t="shared" si="5"/>
        <v>5.4296223053077615</v>
      </c>
      <c r="T16" s="596">
        <f t="shared" si="6"/>
        <v>0</v>
      </c>
      <c r="U16" s="596">
        <f t="shared" si="7"/>
        <v>5.4296223053077455</v>
      </c>
      <c r="V16" s="137"/>
    </row>
    <row r="17" spans="1:22" s="21" customFormat="1" ht="24">
      <c r="A17" s="254">
        <f t="shared" si="4"/>
        <v>12</v>
      </c>
      <c r="B17" s="213" t="s">
        <v>256</v>
      </c>
      <c r="C17" s="105">
        <v>1031938.642364</v>
      </c>
      <c r="D17" s="105">
        <v>5204.4099479999995</v>
      </c>
      <c r="E17" s="105">
        <v>212359.773896</v>
      </c>
      <c r="F17" s="105">
        <v>2419.492504</v>
      </c>
      <c r="G17" s="22">
        <f t="shared" si="8"/>
        <v>1251922.318712</v>
      </c>
      <c r="H17" s="260">
        <v>240</v>
      </c>
      <c r="I17" s="80" t="s">
        <v>4</v>
      </c>
      <c r="J17" s="79">
        <f t="shared" si="2"/>
        <v>5216.342994633334</v>
      </c>
      <c r="K17" s="22">
        <v>305204.77</v>
      </c>
      <c r="L17" s="22">
        <v>677.97</v>
      </c>
      <c r="M17" s="22">
        <v>456025.98</v>
      </c>
      <c r="N17" s="22">
        <v>1393.77</v>
      </c>
      <c r="O17" s="22">
        <f t="shared" si="3"/>
        <v>763302.49</v>
      </c>
      <c r="P17" s="264">
        <v>600</v>
      </c>
      <c r="Q17" s="80" t="s">
        <v>4</v>
      </c>
      <c r="R17" s="79">
        <f t="shared" si="9"/>
        <v>1272.1708166666667</v>
      </c>
      <c r="S17" s="596">
        <f t="shared" si="5"/>
        <v>-39.02956448725196</v>
      </c>
      <c r="T17" s="596">
        <v>100</v>
      </c>
      <c r="U17" s="596">
        <f t="shared" si="7"/>
        <v>-75.61182579490078</v>
      </c>
      <c r="V17" s="137"/>
    </row>
    <row r="18" spans="1:22" s="21" customFormat="1" ht="24">
      <c r="A18" s="254">
        <f t="shared" si="4"/>
        <v>13</v>
      </c>
      <c r="B18" s="213" t="s">
        <v>257</v>
      </c>
      <c r="C18" s="105">
        <v>684993.7539830001</v>
      </c>
      <c r="D18" s="105">
        <v>3454.6514310000002</v>
      </c>
      <c r="E18" s="105">
        <v>140962.95336200003</v>
      </c>
      <c r="F18" s="105">
        <v>1606.042438</v>
      </c>
      <c r="G18" s="22">
        <f t="shared" si="8"/>
        <v>831017.4012140001</v>
      </c>
      <c r="H18" s="260">
        <v>12</v>
      </c>
      <c r="I18" s="80" t="s">
        <v>4</v>
      </c>
      <c r="J18" s="79">
        <f t="shared" si="2"/>
        <v>69251.45010116667</v>
      </c>
      <c r="K18" s="22">
        <v>203469.84</v>
      </c>
      <c r="L18" s="22">
        <v>451.98</v>
      </c>
      <c r="M18" s="22">
        <v>304017.32</v>
      </c>
      <c r="N18" s="22">
        <v>929.18</v>
      </c>
      <c r="O18" s="22">
        <f t="shared" si="3"/>
        <v>508868.32</v>
      </c>
      <c r="P18" s="264">
        <v>6</v>
      </c>
      <c r="Q18" s="80" t="s">
        <v>4</v>
      </c>
      <c r="R18" s="79">
        <f t="shared" si="9"/>
        <v>84811.38666666667</v>
      </c>
      <c r="S18" s="596">
        <f t="shared" si="5"/>
        <v>-38.765624010205485</v>
      </c>
      <c r="T18" s="596">
        <f t="shared" si="6"/>
        <v>-50</v>
      </c>
      <c r="U18" s="596">
        <f t="shared" si="7"/>
        <v>22.468751979589037</v>
      </c>
      <c r="V18" s="137"/>
    </row>
    <row r="19" spans="1:21" s="21" customFormat="1" ht="24">
      <c r="A19" s="254">
        <f t="shared" si="4"/>
        <v>14</v>
      </c>
      <c r="B19" s="213" t="s">
        <v>258</v>
      </c>
      <c r="C19" s="105">
        <v>43933085.550864495</v>
      </c>
      <c r="D19" s="105">
        <v>93247.0928765</v>
      </c>
      <c r="E19" s="105">
        <v>471745.146503</v>
      </c>
      <c r="F19" s="105">
        <v>2157240.521197</v>
      </c>
      <c r="G19" s="22">
        <f t="shared" si="8"/>
        <v>46655318.311441</v>
      </c>
      <c r="H19" s="260">
        <v>16</v>
      </c>
      <c r="I19" s="80" t="s">
        <v>4</v>
      </c>
      <c r="J19" s="79">
        <f t="shared" si="2"/>
        <v>2915957.3944650623</v>
      </c>
      <c r="K19" s="22">
        <v>45161903.51</v>
      </c>
      <c r="L19" s="22">
        <v>139316.76</v>
      </c>
      <c r="M19" s="22">
        <v>863473.94</v>
      </c>
      <c r="N19" s="22">
        <v>3229289.02</v>
      </c>
      <c r="O19" s="22">
        <f t="shared" si="3"/>
        <v>49393983.23</v>
      </c>
      <c r="P19" s="264">
        <v>160</v>
      </c>
      <c r="Q19" s="80" t="s">
        <v>4</v>
      </c>
      <c r="R19" s="79">
        <f t="shared" si="9"/>
        <v>308712.3951875</v>
      </c>
      <c r="S19" s="596">
        <f t="shared" si="5"/>
        <v>5.8699951424131935</v>
      </c>
      <c r="T19" s="596">
        <v>100</v>
      </c>
      <c r="U19" s="596">
        <f t="shared" si="7"/>
        <v>-89.41300048575869</v>
      </c>
    </row>
    <row r="20" spans="1:21" s="21" customFormat="1" ht="24">
      <c r="A20" s="254">
        <f t="shared" si="4"/>
        <v>15</v>
      </c>
      <c r="B20" s="213" t="s">
        <v>318</v>
      </c>
      <c r="C20" s="173">
        <v>44480113.895</v>
      </c>
      <c r="D20" s="173">
        <v>224328.015</v>
      </c>
      <c r="E20" s="173">
        <v>9153438.530000001</v>
      </c>
      <c r="F20" s="173">
        <v>104288.47</v>
      </c>
      <c r="G20" s="22">
        <f t="shared" si="8"/>
        <v>53962168.910000004</v>
      </c>
      <c r="H20" s="22">
        <v>1</v>
      </c>
      <c r="I20" s="80" t="s">
        <v>90</v>
      </c>
      <c r="J20" s="79">
        <f t="shared" si="2"/>
        <v>53962168.910000004</v>
      </c>
      <c r="K20" s="22">
        <v>0</v>
      </c>
      <c r="L20" s="22">
        <v>0</v>
      </c>
      <c r="M20" s="22">
        <v>0</v>
      </c>
      <c r="N20" s="22">
        <v>0</v>
      </c>
      <c r="O20" s="22">
        <f t="shared" si="3"/>
        <v>0</v>
      </c>
      <c r="P20" s="264">
        <v>0</v>
      </c>
      <c r="Q20" s="80" t="s">
        <v>90</v>
      </c>
      <c r="R20" s="546">
        <v>0</v>
      </c>
      <c r="S20" s="596">
        <f>(O20-G20)*100/G20</f>
        <v>-99.99999999999999</v>
      </c>
      <c r="T20" s="596">
        <f>(P20-H20)*100/H20</f>
        <v>-100</v>
      </c>
      <c r="U20" s="596">
        <f>(R20-J20)*100/J20</f>
        <v>-99.99999999999999</v>
      </c>
    </row>
    <row r="21" spans="1:21" s="21" customFormat="1" ht="24">
      <c r="A21" s="254">
        <f t="shared" si="4"/>
        <v>16</v>
      </c>
      <c r="B21" s="213" t="s">
        <v>380</v>
      </c>
      <c r="C21" s="173">
        <v>0</v>
      </c>
      <c r="D21" s="173">
        <v>0</v>
      </c>
      <c r="E21" s="173">
        <v>0</v>
      </c>
      <c r="F21" s="173">
        <v>0</v>
      </c>
      <c r="G21" s="22">
        <v>0</v>
      </c>
      <c r="H21" s="22">
        <v>0</v>
      </c>
      <c r="I21" s="80" t="s">
        <v>4</v>
      </c>
      <c r="J21" s="546">
        <v>0</v>
      </c>
      <c r="K21" s="22">
        <v>793532.39</v>
      </c>
      <c r="L21" s="22">
        <v>1762.71</v>
      </c>
      <c r="M21" s="22">
        <v>1185667.55</v>
      </c>
      <c r="N21" s="22">
        <v>3623.8</v>
      </c>
      <c r="O21" s="22">
        <f t="shared" si="3"/>
        <v>1984586.45</v>
      </c>
      <c r="P21" s="264">
        <v>3</v>
      </c>
      <c r="Q21" s="80" t="s">
        <v>4</v>
      </c>
      <c r="R21" s="79">
        <f>+O21/P21</f>
        <v>661528.8166666667</v>
      </c>
      <c r="S21" s="596">
        <v>100</v>
      </c>
      <c r="T21" s="596">
        <v>100</v>
      </c>
      <c r="U21" s="596">
        <v>100</v>
      </c>
    </row>
    <row r="22" spans="1:21" s="21" customFormat="1" ht="24">
      <c r="A22" s="254">
        <f>+A21+1</f>
        <v>17</v>
      </c>
      <c r="B22" s="213" t="s">
        <v>291</v>
      </c>
      <c r="C22" s="105">
        <v>13151303.86</v>
      </c>
      <c r="D22" s="105">
        <v>86349.76999999999</v>
      </c>
      <c r="E22" s="105">
        <v>865706.95</v>
      </c>
      <c r="F22" s="105">
        <v>107919.18</v>
      </c>
      <c r="G22" s="22">
        <f t="shared" si="8"/>
        <v>14211279.759999998</v>
      </c>
      <c r="H22" s="260">
        <v>37</v>
      </c>
      <c r="I22" s="80" t="s">
        <v>4</v>
      </c>
      <c r="J22" s="79">
        <f t="shared" si="2"/>
        <v>384088.6421621621</v>
      </c>
      <c r="K22" s="22">
        <v>11512630.08</v>
      </c>
      <c r="L22" s="22">
        <v>61984.97</v>
      </c>
      <c r="M22" s="22">
        <v>724862.14</v>
      </c>
      <c r="N22" s="22">
        <v>88286.84</v>
      </c>
      <c r="O22" s="22">
        <f t="shared" si="3"/>
        <v>12387764.030000001</v>
      </c>
      <c r="P22" s="264">
        <v>35</v>
      </c>
      <c r="Q22" s="80" t="s">
        <v>4</v>
      </c>
      <c r="R22" s="79">
        <f t="shared" si="9"/>
        <v>353936.1151428572</v>
      </c>
      <c r="S22" s="596">
        <f aca="true" t="shared" si="10" ref="S22:T24">(O22-G22)*100/G22</f>
        <v>-12.831467403326926</v>
      </c>
      <c r="T22" s="596">
        <f t="shared" si="10"/>
        <v>-5.405405405405405</v>
      </c>
      <c r="U22" s="596">
        <f>(R22-J22)*100/J22</f>
        <v>-7.850408397802748</v>
      </c>
    </row>
    <row r="23" spans="1:21" s="21" customFormat="1" ht="24">
      <c r="A23" s="254">
        <f t="shared" si="4"/>
        <v>18</v>
      </c>
      <c r="B23" s="213" t="s">
        <v>292</v>
      </c>
      <c r="C23" s="105">
        <v>15297137.930228878</v>
      </c>
      <c r="D23" s="105">
        <v>34537.51</v>
      </c>
      <c r="E23" s="105">
        <v>246791.24000000005</v>
      </c>
      <c r="F23" s="105">
        <v>129164.72</v>
      </c>
      <c r="G23" s="22">
        <f t="shared" si="8"/>
        <v>15707631.400228878</v>
      </c>
      <c r="H23" s="260">
        <v>94</v>
      </c>
      <c r="I23" s="80" t="s">
        <v>4</v>
      </c>
      <c r="J23" s="79">
        <f t="shared" si="2"/>
        <v>167102.46170456253</v>
      </c>
      <c r="K23" s="22">
        <v>21916883.95</v>
      </c>
      <c r="L23" s="22">
        <v>61984.97</v>
      </c>
      <c r="M23" s="22">
        <v>632948.28</v>
      </c>
      <c r="N23" s="22">
        <v>260280.97</v>
      </c>
      <c r="O23" s="22">
        <f t="shared" si="3"/>
        <v>22872098.169999998</v>
      </c>
      <c r="P23" s="264">
        <v>68</v>
      </c>
      <c r="Q23" s="80" t="s">
        <v>4</v>
      </c>
      <c r="R23" s="79">
        <f t="shared" si="9"/>
        <v>336354.38485294115</v>
      </c>
      <c r="S23" s="596">
        <f t="shared" si="10"/>
        <v>45.611375688805154</v>
      </c>
      <c r="T23" s="596">
        <f t="shared" si="10"/>
        <v>-27.659574468085108</v>
      </c>
      <c r="U23" s="596">
        <v>100</v>
      </c>
    </row>
    <row r="24" spans="1:21" s="21" customFormat="1" ht="48">
      <c r="A24" s="254">
        <f t="shared" si="4"/>
        <v>19</v>
      </c>
      <c r="B24" s="249" t="s">
        <v>351</v>
      </c>
      <c r="C24" s="173">
        <v>15297137.93</v>
      </c>
      <c r="D24" s="173">
        <v>34537.51</v>
      </c>
      <c r="E24" s="173">
        <v>246791.24000000005</v>
      </c>
      <c r="F24" s="173">
        <v>129164.73</v>
      </c>
      <c r="G24" s="22">
        <f t="shared" si="8"/>
        <v>15707631.41</v>
      </c>
      <c r="H24" s="260">
        <v>950</v>
      </c>
      <c r="I24" s="288" t="s">
        <v>4</v>
      </c>
      <c r="J24" s="271">
        <f t="shared" si="2"/>
        <v>16534.348852631578</v>
      </c>
      <c r="K24" s="22">
        <v>0</v>
      </c>
      <c r="L24" s="22">
        <v>0</v>
      </c>
      <c r="M24" s="22">
        <v>0</v>
      </c>
      <c r="N24" s="22">
        <v>0</v>
      </c>
      <c r="O24" s="22">
        <f t="shared" si="3"/>
        <v>0</v>
      </c>
      <c r="P24" s="264">
        <v>0</v>
      </c>
      <c r="Q24" s="211" t="s">
        <v>4</v>
      </c>
      <c r="R24" s="547">
        <v>0</v>
      </c>
      <c r="S24" s="596">
        <f t="shared" si="10"/>
        <v>-100</v>
      </c>
      <c r="T24" s="596">
        <f t="shared" si="10"/>
        <v>-100</v>
      </c>
      <c r="U24" s="596">
        <f>(R24-J24)*100/J24</f>
        <v>-100</v>
      </c>
    </row>
    <row r="25" spans="1:21" s="21" customFormat="1" ht="24">
      <c r="A25" s="254">
        <f t="shared" si="4"/>
        <v>20</v>
      </c>
      <c r="B25" s="213" t="s">
        <v>293</v>
      </c>
      <c r="C25" s="105">
        <v>5022328.42</v>
      </c>
      <c r="D25" s="105">
        <v>10799.47</v>
      </c>
      <c r="E25" s="105">
        <v>172304.41</v>
      </c>
      <c r="F25" s="105">
        <v>15919.48</v>
      </c>
      <c r="G25" s="22">
        <f t="shared" si="8"/>
        <v>5221351.78</v>
      </c>
      <c r="H25" s="260">
        <v>10</v>
      </c>
      <c r="I25" s="80" t="s">
        <v>4</v>
      </c>
      <c r="J25" s="79">
        <f t="shared" si="2"/>
        <v>522135.178</v>
      </c>
      <c r="K25" s="22">
        <v>4345392.37</v>
      </c>
      <c r="L25" s="22">
        <v>10653.85</v>
      </c>
      <c r="M25" s="22">
        <v>66149.82</v>
      </c>
      <c r="N25" s="22">
        <v>15372.78</v>
      </c>
      <c r="O25" s="22">
        <f t="shared" si="3"/>
        <v>4437568.82</v>
      </c>
      <c r="P25" s="264">
        <v>8</v>
      </c>
      <c r="Q25" s="80" t="s">
        <v>4</v>
      </c>
      <c r="R25" s="79">
        <f aca="true" t="shared" si="11" ref="R25:R32">+O25/P25</f>
        <v>554696.1025</v>
      </c>
      <c r="S25" s="596">
        <f aca="true" t="shared" si="12" ref="S25:T28">(O25-G25)*100/G25</f>
        <v>-15.011111930864768</v>
      </c>
      <c r="T25" s="596">
        <f t="shared" si="12"/>
        <v>-20</v>
      </c>
      <c r="U25" s="596">
        <f>(R25-J25)*100/J25</f>
        <v>6.236110086419042</v>
      </c>
    </row>
    <row r="26" spans="1:21" s="21" customFormat="1" ht="24">
      <c r="A26" s="254">
        <f>+A25+1</f>
        <v>21</v>
      </c>
      <c r="B26" s="213" t="s">
        <v>294</v>
      </c>
      <c r="C26" s="105">
        <v>1646445.61</v>
      </c>
      <c r="D26" s="105">
        <v>3540.34</v>
      </c>
      <c r="E26" s="105">
        <v>56485.72</v>
      </c>
      <c r="F26" s="105">
        <v>5218.81</v>
      </c>
      <c r="G26" s="22">
        <f t="shared" si="8"/>
        <v>1711690.4800000002</v>
      </c>
      <c r="H26" s="260">
        <v>8</v>
      </c>
      <c r="I26" s="80" t="s">
        <v>4</v>
      </c>
      <c r="J26" s="79">
        <f t="shared" si="2"/>
        <v>213961.31000000003</v>
      </c>
      <c r="K26" s="22">
        <v>1309411.57</v>
      </c>
      <c r="L26" s="22">
        <v>3210.36</v>
      </c>
      <c r="M26" s="22">
        <v>19933.15</v>
      </c>
      <c r="N26" s="22">
        <v>4632.33</v>
      </c>
      <c r="O26" s="22">
        <f t="shared" si="3"/>
        <v>1337187.4100000001</v>
      </c>
      <c r="P26" s="264">
        <v>8</v>
      </c>
      <c r="Q26" s="80" t="s">
        <v>4</v>
      </c>
      <c r="R26" s="79">
        <f t="shared" si="11"/>
        <v>167148.42625000002</v>
      </c>
      <c r="S26" s="596">
        <f t="shared" si="12"/>
        <v>-21.87913494734165</v>
      </c>
      <c r="T26" s="596">
        <f t="shared" si="12"/>
        <v>0</v>
      </c>
      <c r="U26" s="596">
        <f>(R26-J26)*100/J26</f>
        <v>-21.87913494734165</v>
      </c>
    </row>
    <row r="27" spans="1:21" s="21" customFormat="1" ht="24">
      <c r="A27" s="254">
        <f t="shared" si="4"/>
        <v>22</v>
      </c>
      <c r="B27" s="213" t="s">
        <v>263</v>
      </c>
      <c r="C27" s="105">
        <v>5929881.35</v>
      </c>
      <c r="D27" s="105">
        <v>12750.98</v>
      </c>
      <c r="E27" s="105">
        <v>203440.44</v>
      </c>
      <c r="F27" s="105">
        <v>18796.2</v>
      </c>
      <c r="G27" s="22">
        <f t="shared" si="8"/>
        <v>6164868.970000001</v>
      </c>
      <c r="H27" s="260">
        <v>13</v>
      </c>
      <c r="I27" s="80" t="s">
        <v>4</v>
      </c>
      <c r="J27" s="79">
        <f t="shared" si="2"/>
        <v>474220.69000000006</v>
      </c>
      <c r="K27" s="22">
        <v>3699956.76</v>
      </c>
      <c r="L27" s="22">
        <v>9071.4</v>
      </c>
      <c r="M27" s="22">
        <v>56324.36</v>
      </c>
      <c r="N27" s="22">
        <v>13089.41</v>
      </c>
      <c r="O27" s="22">
        <f t="shared" si="3"/>
        <v>3778441.9299999997</v>
      </c>
      <c r="P27" s="264">
        <v>8</v>
      </c>
      <c r="Q27" s="80" t="s">
        <v>4</v>
      </c>
      <c r="R27" s="79">
        <f t="shared" si="11"/>
        <v>472305.24124999996</v>
      </c>
      <c r="S27" s="596">
        <f t="shared" si="12"/>
        <v>-38.710101570901685</v>
      </c>
      <c r="T27" s="596">
        <f t="shared" si="12"/>
        <v>-38.46153846153846</v>
      </c>
      <c r="U27" s="596">
        <f>(R27-J27)*100/J27</f>
        <v>-0.4039150527152448</v>
      </c>
    </row>
    <row r="28" spans="1:21" s="21" customFormat="1" ht="48">
      <c r="A28" s="254">
        <f t="shared" si="4"/>
        <v>23</v>
      </c>
      <c r="B28" s="220" t="s">
        <v>284</v>
      </c>
      <c r="C28" s="105">
        <v>13385736.69</v>
      </c>
      <c r="D28" s="105">
        <v>28783.26</v>
      </c>
      <c r="E28" s="105">
        <v>459233.51</v>
      </c>
      <c r="F28" s="105">
        <v>42429.33</v>
      </c>
      <c r="G28" s="22">
        <f t="shared" si="8"/>
        <v>13916182.79</v>
      </c>
      <c r="H28" s="260">
        <v>16</v>
      </c>
      <c r="I28" s="211" t="s">
        <v>4</v>
      </c>
      <c r="J28" s="271">
        <f t="shared" si="2"/>
        <v>869761.424375</v>
      </c>
      <c r="K28" s="22">
        <v>11587713</v>
      </c>
      <c r="L28" s="22">
        <v>28410.28</v>
      </c>
      <c r="M28" s="22">
        <v>176399.51</v>
      </c>
      <c r="N28" s="22">
        <v>40994.08</v>
      </c>
      <c r="O28" s="22">
        <f t="shared" si="3"/>
        <v>11833516.87</v>
      </c>
      <c r="P28" s="264">
        <v>15</v>
      </c>
      <c r="Q28" s="211" t="s">
        <v>4</v>
      </c>
      <c r="R28" s="271">
        <f t="shared" si="11"/>
        <v>788901.1246666666</v>
      </c>
      <c r="S28" s="596">
        <f t="shared" si="12"/>
        <v>-14.965784449860623</v>
      </c>
      <c r="T28" s="596">
        <f t="shared" si="12"/>
        <v>-6.25</v>
      </c>
      <c r="U28" s="596">
        <f>(R28-J28)*100/J28</f>
        <v>-9.296836746517997</v>
      </c>
    </row>
    <row r="29" spans="1:21" s="21" customFormat="1" ht="24">
      <c r="A29" s="254">
        <f>+A28+1</f>
        <v>24</v>
      </c>
      <c r="B29" s="249" t="s">
        <v>381</v>
      </c>
      <c r="C29" s="173">
        <v>0</v>
      </c>
      <c r="D29" s="173">
        <v>0</v>
      </c>
      <c r="E29" s="173">
        <v>0</v>
      </c>
      <c r="F29" s="173">
        <v>0</v>
      </c>
      <c r="G29" s="22">
        <f t="shared" si="8"/>
        <v>0</v>
      </c>
      <c r="H29" s="22">
        <v>0</v>
      </c>
      <c r="I29" s="288" t="s">
        <v>4</v>
      </c>
      <c r="J29" s="546">
        <v>0</v>
      </c>
      <c r="K29" s="22">
        <v>1433400.1</v>
      </c>
      <c r="L29" s="22">
        <v>3514.35</v>
      </c>
      <c r="M29" s="22">
        <v>21820.62</v>
      </c>
      <c r="N29" s="22">
        <v>5070.97</v>
      </c>
      <c r="O29" s="22">
        <f>+K29+L29+M29+N29</f>
        <v>1463806.0400000003</v>
      </c>
      <c r="P29" s="264">
        <v>1</v>
      </c>
      <c r="Q29" s="80" t="s">
        <v>4</v>
      </c>
      <c r="R29" s="271">
        <f t="shared" si="11"/>
        <v>1463806.0400000003</v>
      </c>
      <c r="S29" s="596">
        <v>100</v>
      </c>
      <c r="T29" s="596">
        <v>100</v>
      </c>
      <c r="U29" s="596">
        <v>100</v>
      </c>
    </row>
    <row r="30" spans="1:21" s="21" customFormat="1" ht="24">
      <c r="A30" s="254">
        <f aca="true" t="shared" si="13" ref="A30:A54">+A29+1</f>
        <v>25</v>
      </c>
      <c r="B30" s="249" t="s">
        <v>336</v>
      </c>
      <c r="C30" s="173">
        <v>787081.317372</v>
      </c>
      <c r="D30" s="173">
        <v>1692.4556879999998</v>
      </c>
      <c r="E30" s="173">
        <v>27002.930388</v>
      </c>
      <c r="F30" s="173">
        <v>2494.844604</v>
      </c>
      <c r="G30" s="22">
        <f t="shared" si="8"/>
        <v>818271.5480519999</v>
      </c>
      <c r="H30" s="260">
        <v>1</v>
      </c>
      <c r="I30" s="288" t="s">
        <v>4</v>
      </c>
      <c r="J30" s="79">
        <f t="shared" si="2"/>
        <v>818271.5480519999</v>
      </c>
      <c r="K30" s="22">
        <v>799552.19</v>
      </c>
      <c r="L30" s="22">
        <v>1960.32</v>
      </c>
      <c r="M30" s="22">
        <v>12171.57</v>
      </c>
      <c r="N30" s="22">
        <v>2828.58</v>
      </c>
      <c r="O30" s="22">
        <f t="shared" si="3"/>
        <v>816512.6599999998</v>
      </c>
      <c r="P30" s="264">
        <v>1</v>
      </c>
      <c r="Q30" s="80" t="s">
        <v>4</v>
      </c>
      <c r="R30" s="79">
        <f t="shared" si="11"/>
        <v>816512.6599999998</v>
      </c>
      <c r="S30" s="596">
        <f aca="true" t="shared" si="14" ref="S30:T32">(O30-G30)*100/G30</f>
        <v>-0.2149516326441192</v>
      </c>
      <c r="T30" s="596">
        <f t="shared" si="14"/>
        <v>0</v>
      </c>
      <c r="U30" s="596">
        <f>(R30-J30)*100/J30</f>
        <v>-0.2149516326441192</v>
      </c>
    </row>
    <row r="31" spans="1:21" s="21" customFormat="1" ht="24">
      <c r="A31" s="254">
        <f t="shared" si="13"/>
        <v>26</v>
      </c>
      <c r="B31" s="213" t="s">
        <v>264</v>
      </c>
      <c r="C31" s="105">
        <v>25819196.13</v>
      </c>
      <c r="D31" s="105">
        <v>56894.205</v>
      </c>
      <c r="E31" s="105">
        <v>1468862.82</v>
      </c>
      <c r="F31" s="105">
        <v>2049882.2000000011</v>
      </c>
      <c r="G31" s="22">
        <f t="shared" si="8"/>
        <v>29394835.354999997</v>
      </c>
      <c r="H31" s="260">
        <v>2185</v>
      </c>
      <c r="I31" s="80" t="s">
        <v>6</v>
      </c>
      <c r="J31" s="79">
        <f t="shared" si="2"/>
        <v>13453.01389244851</v>
      </c>
      <c r="K31" s="22">
        <v>24447111.38</v>
      </c>
      <c r="L31" s="22">
        <v>38742.61</v>
      </c>
      <c r="M31" s="22">
        <v>1367879.99</v>
      </c>
      <c r="N31" s="22">
        <v>2305000.01</v>
      </c>
      <c r="O31" s="22">
        <f t="shared" si="3"/>
        <v>28158733.989999995</v>
      </c>
      <c r="P31" s="264">
        <v>2365</v>
      </c>
      <c r="Q31" s="80" t="s">
        <v>6</v>
      </c>
      <c r="R31" s="79">
        <f t="shared" si="11"/>
        <v>11906.441433403803</v>
      </c>
      <c r="S31" s="596">
        <f t="shared" si="14"/>
        <v>-4.205165125341463</v>
      </c>
      <c r="T31" s="596">
        <f t="shared" si="14"/>
        <v>8.237986270022883</v>
      </c>
      <c r="U31" s="596">
        <f>(R31-J31)*100/J31</f>
        <v>-11.496103931869385</v>
      </c>
    </row>
    <row r="32" spans="1:21" s="21" customFormat="1" ht="24">
      <c r="A32" s="254">
        <f t="shared" si="13"/>
        <v>27</v>
      </c>
      <c r="B32" s="213" t="s">
        <v>265</v>
      </c>
      <c r="C32" s="105">
        <v>43993341.74</v>
      </c>
      <c r="D32" s="105">
        <v>581405.39</v>
      </c>
      <c r="E32" s="105">
        <v>5305883.38</v>
      </c>
      <c r="F32" s="105">
        <v>749080.84</v>
      </c>
      <c r="G32" s="22">
        <f t="shared" si="8"/>
        <v>50629711.35000001</v>
      </c>
      <c r="H32" s="260">
        <v>1406</v>
      </c>
      <c r="I32" s="80" t="s">
        <v>98</v>
      </c>
      <c r="J32" s="79">
        <f t="shared" si="2"/>
        <v>36009.75202702703</v>
      </c>
      <c r="K32" s="22">
        <v>42405738.89</v>
      </c>
      <c r="L32" s="22">
        <v>495883.78</v>
      </c>
      <c r="M32" s="22">
        <v>5418938.04</v>
      </c>
      <c r="N32" s="22">
        <v>741926.2</v>
      </c>
      <c r="O32" s="22">
        <f t="shared" si="3"/>
        <v>49062486.910000004</v>
      </c>
      <c r="P32" s="264">
        <v>1495</v>
      </c>
      <c r="Q32" s="80" t="s">
        <v>98</v>
      </c>
      <c r="R32" s="79">
        <f t="shared" si="11"/>
        <v>32817.71699665552</v>
      </c>
      <c r="S32" s="596">
        <f t="shared" si="14"/>
        <v>-3.095463904911251</v>
      </c>
      <c r="T32" s="596">
        <f t="shared" si="14"/>
        <v>6.330014224751067</v>
      </c>
      <c r="U32" s="596">
        <f>(R32-J32)*100/J32</f>
        <v>-8.864362709234252</v>
      </c>
    </row>
    <row r="33" spans="1:21" ht="24">
      <c r="A33" s="254"/>
      <c r="B33" s="215" t="s">
        <v>16</v>
      </c>
      <c r="C33" s="81"/>
      <c r="D33" s="81"/>
      <c r="E33" s="81"/>
      <c r="F33" s="81"/>
      <c r="G33" s="22">
        <f t="shared" si="8"/>
        <v>0</v>
      </c>
      <c r="H33" s="258"/>
      <c r="I33" s="82"/>
      <c r="J33" s="79"/>
      <c r="K33" s="174"/>
      <c r="L33" s="174"/>
      <c r="M33" s="174"/>
      <c r="N33" s="174"/>
      <c r="O33" s="22"/>
      <c r="P33" s="275"/>
      <c r="Q33" s="82"/>
      <c r="R33" s="79"/>
      <c r="S33" s="596"/>
      <c r="T33" s="596"/>
      <c r="U33" s="596"/>
    </row>
    <row r="34" spans="1:21" ht="24">
      <c r="A34" s="254">
        <f>+A32+1</f>
        <v>28</v>
      </c>
      <c r="B34" s="213" t="s">
        <v>266</v>
      </c>
      <c r="C34" s="23">
        <v>3462998.85</v>
      </c>
      <c r="D34" s="23">
        <v>58090.67</v>
      </c>
      <c r="E34" s="23">
        <v>344409.9</v>
      </c>
      <c r="F34" s="23">
        <v>68348.82</v>
      </c>
      <c r="G34" s="22">
        <f t="shared" si="8"/>
        <v>3933848.2399999998</v>
      </c>
      <c r="H34" s="261">
        <v>18185</v>
      </c>
      <c r="I34" s="132" t="s">
        <v>7</v>
      </c>
      <c r="J34" s="79">
        <f t="shared" si="2"/>
        <v>216.32379653560625</v>
      </c>
      <c r="K34" s="175">
        <v>3648352.26</v>
      </c>
      <c r="L34" s="175">
        <v>49071.44</v>
      </c>
      <c r="M34" s="175">
        <v>342542.75</v>
      </c>
      <c r="N34" s="175">
        <v>69893.75</v>
      </c>
      <c r="O34" s="22">
        <f t="shared" si="3"/>
        <v>4109860.1999999997</v>
      </c>
      <c r="P34" s="276">
        <v>16990</v>
      </c>
      <c r="Q34" s="132" t="s">
        <v>7</v>
      </c>
      <c r="R34" s="79">
        <f>+O34/P34</f>
        <v>241.89877575044142</v>
      </c>
      <c r="S34" s="596">
        <f aca="true" t="shared" si="15" ref="S34:S43">(O34-G34)*100/G34</f>
        <v>4.474294615900078</v>
      </c>
      <c r="T34" s="596">
        <f aca="true" t="shared" si="16" ref="T34:T43">(P34-H34)*100/H34</f>
        <v>-6.571350013747594</v>
      </c>
      <c r="U34" s="596">
        <f aca="true" t="shared" si="17" ref="U34:U43">(R34-J34)*100/J34</f>
        <v>11.822545473227954</v>
      </c>
    </row>
    <row r="35" spans="1:21" ht="24">
      <c r="A35" s="254">
        <f t="shared" si="13"/>
        <v>29</v>
      </c>
      <c r="B35" s="213" t="s">
        <v>267</v>
      </c>
      <c r="C35" s="23">
        <v>3462998.85</v>
      </c>
      <c r="D35" s="23">
        <v>58090.66</v>
      </c>
      <c r="E35" s="23">
        <v>344409.89</v>
      </c>
      <c r="F35" s="23">
        <v>68348.81</v>
      </c>
      <c r="G35" s="22">
        <f t="shared" si="8"/>
        <v>3933848.2100000004</v>
      </c>
      <c r="H35" s="261">
        <v>1546</v>
      </c>
      <c r="I35" s="80" t="s">
        <v>4</v>
      </c>
      <c r="J35" s="79">
        <f t="shared" si="2"/>
        <v>2544.5331241914623</v>
      </c>
      <c r="K35" s="175">
        <v>3648352.25</v>
      </c>
      <c r="L35" s="175">
        <v>49071.43</v>
      </c>
      <c r="M35" s="175">
        <v>342542.75</v>
      </c>
      <c r="N35" s="175">
        <v>69893.75</v>
      </c>
      <c r="O35" s="22">
        <f t="shared" si="3"/>
        <v>4109860.18</v>
      </c>
      <c r="P35" s="276">
        <v>1584</v>
      </c>
      <c r="Q35" s="80" t="s">
        <v>4</v>
      </c>
      <c r="R35" s="79">
        <f aca="true" t="shared" si="18" ref="R35:R43">+O35/P35</f>
        <v>2594.6086994949496</v>
      </c>
      <c r="S35" s="596">
        <f t="shared" si="15"/>
        <v>4.4742949042255935</v>
      </c>
      <c r="T35" s="596">
        <f t="shared" si="16"/>
        <v>2.4579560155239326</v>
      </c>
      <c r="U35" s="596">
        <f t="shared" si="17"/>
        <v>1.9679671224322957</v>
      </c>
    </row>
    <row r="36" spans="1:21" s="26" customFormat="1" ht="24">
      <c r="A36" s="254">
        <f t="shared" si="13"/>
        <v>30</v>
      </c>
      <c r="B36" s="213" t="s">
        <v>268</v>
      </c>
      <c r="C36" s="23">
        <v>2571671.1</v>
      </c>
      <c r="D36" s="23">
        <v>30094.65</v>
      </c>
      <c r="E36" s="23">
        <v>90279.35</v>
      </c>
      <c r="F36" s="23">
        <v>21940.84</v>
      </c>
      <c r="G36" s="22">
        <f t="shared" si="8"/>
        <v>2713985.94</v>
      </c>
      <c r="H36" s="261">
        <v>447</v>
      </c>
      <c r="I36" s="80" t="s">
        <v>6</v>
      </c>
      <c r="J36" s="79">
        <f t="shared" si="2"/>
        <v>6071.556912751677</v>
      </c>
      <c r="K36" s="175">
        <v>1609968.38</v>
      </c>
      <c r="L36" s="175">
        <v>46328.74</v>
      </c>
      <c r="M36" s="175">
        <v>90792.85</v>
      </c>
      <c r="N36" s="175">
        <v>22738.28</v>
      </c>
      <c r="O36" s="22">
        <f t="shared" si="3"/>
        <v>1769828.25</v>
      </c>
      <c r="P36" s="276">
        <v>450</v>
      </c>
      <c r="Q36" s="80" t="s">
        <v>6</v>
      </c>
      <c r="R36" s="79">
        <f t="shared" si="18"/>
        <v>3932.951666666667</v>
      </c>
      <c r="S36" s="596">
        <f t="shared" si="15"/>
        <v>-34.788599162750266</v>
      </c>
      <c r="T36" s="596">
        <f t="shared" si="16"/>
        <v>0.6711409395973155</v>
      </c>
      <c r="U36" s="596">
        <f t="shared" si="17"/>
        <v>-35.22334183499859</v>
      </c>
    </row>
    <row r="37" spans="1:21" s="26" customFormat="1" ht="24">
      <c r="A37" s="254">
        <f t="shared" si="13"/>
        <v>31</v>
      </c>
      <c r="B37" s="213" t="s">
        <v>269</v>
      </c>
      <c r="C37" s="23">
        <v>5571954.05</v>
      </c>
      <c r="D37" s="23">
        <v>65205.08</v>
      </c>
      <c r="E37" s="23">
        <v>195605.27</v>
      </c>
      <c r="F37" s="23">
        <v>47538.48</v>
      </c>
      <c r="G37" s="22">
        <f t="shared" si="8"/>
        <v>5880302.88</v>
      </c>
      <c r="H37" s="261">
        <v>16356</v>
      </c>
      <c r="I37" s="80" t="s">
        <v>42</v>
      </c>
      <c r="J37" s="79">
        <f t="shared" si="2"/>
        <v>359.519618488628</v>
      </c>
      <c r="K37" s="175">
        <v>3488264.82</v>
      </c>
      <c r="L37" s="175">
        <v>100378.94</v>
      </c>
      <c r="M37" s="175">
        <v>196717.83</v>
      </c>
      <c r="N37" s="175">
        <v>49266.27</v>
      </c>
      <c r="O37" s="22">
        <f t="shared" si="3"/>
        <v>3834627.86</v>
      </c>
      <c r="P37" s="276">
        <v>10980</v>
      </c>
      <c r="Q37" s="80" t="s">
        <v>42</v>
      </c>
      <c r="R37" s="79">
        <f t="shared" si="18"/>
        <v>349.23751001821495</v>
      </c>
      <c r="S37" s="596">
        <f t="shared" si="15"/>
        <v>-34.7885995287372</v>
      </c>
      <c r="T37" s="596">
        <f t="shared" si="16"/>
        <v>-32.86867204695525</v>
      </c>
      <c r="U37" s="596">
        <f t="shared" si="17"/>
        <v>-2.8599575493648017</v>
      </c>
    </row>
    <row r="38" spans="1:21" s="26" customFormat="1" ht="24">
      <c r="A38" s="254">
        <f t="shared" si="13"/>
        <v>32</v>
      </c>
      <c r="B38" s="213" t="s">
        <v>332</v>
      </c>
      <c r="C38" s="173">
        <v>428611.85</v>
      </c>
      <c r="D38" s="173">
        <v>5015.78</v>
      </c>
      <c r="E38" s="173">
        <v>15046.56</v>
      </c>
      <c r="F38" s="173">
        <v>3656.81</v>
      </c>
      <c r="G38" s="22">
        <f t="shared" si="8"/>
        <v>452331</v>
      </c>
      <c r="H38" s="22">
        <v>1</v>
      </c>
      <c r="I38" s="80" t="s">
        <v>327</v>
      </c>
      <c r="J38" s="79">
        <f t="shared" si="2"/>
        <v>452331</v>
      </c>
      <c r="K38" s="175">
        <v>268328.06</v>
      </c>
      <c r="L38" s="175">
        <v>7721.46</v>
      </c>
      <c r="M38" s="175">
        <v>15132.14</v>
      </c>
      <c r="N38" s="175">
        <v>3789.7</v>
      </c>
      <c r="O38" s="22">
        <f t="shared" si="3"/>
        <v>294971.36000000004</v>
      </c>
      <c r="P38" s="276">
        <v>1</v>
      </c>
      <c r="Q38" s="80" t="s">
        <v>327</v>
      </c>
      <c r="R38" s="79">
        <f t="shared" si="18"/>
        <v>294971.36000000004</v>
      </c>
      <c r="S38" s="596">
        <f t="shared" si="15"/>
        <v>-34.78860392058027</v>
      </c>
      <c r="T38" s="596">
        <f t="shared" si="16"/>
        <v>0</v>
      </c>
      <c r="U38" s="596">
        <f t="shared" si="17"/>
        <v>-34.78860392058027</v>
      </c>
    </row>
    <row r="39" spans="1:21" ht="24">
      <c r="A39" s="254">
        <f t="shared" si="13"/>
        <v>33</v>
      </c>
      <c r="B39" s="213" t="s">
        <v>270</v>
      </c>
      <c r="C39" s="23">
        <v>2074630.45</v>
      </c>
      <c r="D39" s="23">
        <v>23025.01</v>
      </c>
      <c r="E39" s="23">
        <v>212810.31</v>
      </c>
      <c r="F39" s="23">
        <v>28778.45</v>
      </c>
      <c r="G39" s="22">
        <f t="shared" si="8"/>
        <v>2339244.22</v>
      </c>
      <c r="H39" s="261">
        <v>750</v>
      </c>
      <c r="I39" s="80" t="s">
        <v>8</v>
      </c>
      <c r="J39" s="79">
        <f t="shared" si="2"/>
        <v>3118.9922933333337</v>
      </c>
      <c r="K39" s="175">
        <v>2167743.95</v>
      </c>
      <c r="L39" s="175">
        <v>20662.66</v>
      </c>
      <c r="M39" s="175">
        <v>209740.59</v>
      </c>
      <c r="N39" s="175">
        <v>29428.95</v>
      </c>
      <c r="O39" s="22">
        <f t="shared" si="3"/>
        <v>2427576.1500000004</v>
      </c>
      <c r="P39" s="276">
        <v>766</v>
      </c>
      <c r="Q39" s="80" t="s">
        <v>8</v>
      </c>
      <c r="R39" s="79">
        <f t="shared" si="18"/>
        <v>3169.1594647519587</v>
      </c>
      <c r="S39" s="596">
        <f t="shared" si="15"/>
        <v>3.7760884154284735</v>
      </c>
      <c r="T39" s="596">
        <f t="shared" si="16"/>
        <v>2.1333333333333333</v>
      </c>
      <c r="U39" s="596">
        <f t="shared" si="17"/>
        <v>1.6084416600148208</v>
      </c>
    </row>
    <row r="40" spans="1:21" ht="48">
      <c r="A40" s="254">
        <f t="shared" si="13"/>
        <v>34</v>
      </c>
      <c r="B40" s="262" t="s">
        <v>271</v>
      </c>
      <c r="C40" s="103">
        <v>12457316.21</v>
      </c>
      <c r="D40" s="103">
        <v>47993.62</v>
      </c>
      <c r="E40" s="103">
        <v>367271.26</v>
      </c>
      <c r="F40" s="103">
        <v>5837655.96</v>
      </c>
      <c r="G40" s="22">
        <f t="shared" si="8"/>
        <v>18710237.05</v>
      </c>
      <c r="H40" s="334">
        <v>952</v>
      </c>
      <c r="I40" s="335" t="s">
        <v>91</v>
      </c>
      <c r="J40" s="271">
        <f t="shared" si="2"/>
        <v>19653.610346638656</v>
      </c>
      <c r="K40" s="176">
        <v>11106894.99</v>
      </c>
      <c r="L40" s="176">
        <v>38278.84</v>
      </c>
      <c r="M40" s="176">
        <v>359474.35</v>
      </c>
      <c r="N40" s="176">
        <v>5111327.11</v>
      </c>
      <c r="O40" s="22">
        <f t="shared" si="3"/>
        <v>16615975.29</v>
      </c>
      <c r="P40" s="336">
        <v>967</v>
      </c>
      <c r="Q40" s="335" t="s">
        <v>91</v>
      </c>
      <c r="R40" s="271">
        <f t="shared" si="18"/>
        <v>17183.014777662873</v>
      </c>
      <c r="S40" s="596">
        <f t="shared" si="15"/>
        <v>-11.193133226497533</v>
      </c>
      <c r="T40" s="596">
        <f t="shared" si="16"/>
        <v>1.5756302521008403</v>
      </c>
      <c r="U40" s="596">
        <f t="shared" si="17"/>
        <v>-12.570695792787646</v>
      </c>
    </row>
    <row r="41" spans="1:21" ht="24">
      <c r="A41" s="254">
        <f t="shared" si="13"/>
        <v>35</v>
      </c>
      <c r="B41" s="213" t="s">
        <v>272</v>
      </c>
      <c r="C41" s="103">
        <v>17248591.67</v>
      </c>
      <c r="D41" s="103">
        <v>66452.7</v>
      </c>
      <c r="E41" s="103">
        <v>508529.45</v>
      </c>
      <c r="F41" s="103">
        <v>8082908.25</v>
      </c>
      <c r="G41" s="22">
        <f t="shared" si="8"/>
        <v>25906482.07</v>
      </c>
      <c r="H41" s="263">
        <v>1</v>
      </c>
      <c r="I41" s="80" t="s">
        <v>90</v>
      </c>
      <c r="J41" s="79">
        <f t="shared" si="2"/>
        <v>25906482.07</v>
      </c>
      <c r="K41" s="176">
        <v>15378777.67</v>
      </c>
      <c r="L41" s="176">
        <v>53001.47</v>
      </c>
      <c r="M41" s="176">
        <v>497733.71</v>
      </c>
      <c r="N41" s="176">
        <v>7077222.15</v>
      </c>
      <c r="O41" s="22">
        <f t="shared" si="3"/>
        <v>23006735</v>
      </c>
      <c r="P41" s="277">
        <v>1</v>
      </c>
      <c r="Q41" s="80" t="s">
        <v>90</v>
      </c>
      <c r="R41" s="79">
        <f t="shared" si="18"/>
        <v>23006735</v>
      </c>
      <c r="S41" s="596">
        <f t="shared" si="15"/>
        <v>-11.193133294458146</v>
      </c>
      <c r="T41" s="596">
        <f t="shared" si="16"/>
        <v>0</v>
      </c>
      <c r="U41" s="596">
        <f t="shared" si="17"/>
        <v>-11.193133294458146</v>
      </c>
    </row>
    <row r="42" spans="1:21" ht="24">
      <c r="A42" s="254">
        <f t="shared" si="13"/>
        <v>36</v>
      </c>
      <c r="B42" s="213" t="s">
        <v>321</v>
      </c>
      <c r="C42" s="173">
        <v>2235928.55</v>
      </c>
      <c r="D42" s="173">
        <v>8614.24</v>
      </c>
      <c r="E42" s="173">
        <v>65920.48</v>
      </c>
      <c r="F42" s="173">
        <v>1047784.4</v>
      </c>
      <c r="G42" s="22">
        <f t="shared" si="8"/>
        <v>3358247.67</v>
      </c>
      <c r="H42" s="22">
        <v>1</v>
      </c>
      <c r="I42" s="333" t="s">
        <v>4</v>
      </c>
      <c r="J42" s="79">
        <f t="shared" si="2"/>
        <v>3358247.67</v>
      </c>
      <c r="K42" s="176">
        <v>1993545.25</v>
      </c>
      <c r="L42" s="176">
        <v>6870.56</v>
      </c>
      <c r="M42" s="176">
        <v>64521.04</v>
      </c>
      <c r="N42" s="176">
        <v>917417.68</v>
      </c>
      <c r="O42" s="22">
        <f t="shared" si="3"/>
        <v>2982354.5300000003</v>
      </c>
      <c r="P42" s="277">
        <v>1</v>
      </c>
      <c r="Q42" s="333" t="s">
        <v>4</v>
      </c>
      <c r="R42" s="79">
        <f t="shared" si="18"/>
        <v>2982354.5300000003</v>
      </c>
      <c r="S42" s="596">
        <f t="shared" si="15"/>
        <v>-11.193133352192564</v>
      </c>
      <c r="T42" s="596">
        <f t="shared" si="16"/>
        <v>0</v>
      </c>
      <c r="U42" s="596">
        <f t="shared" si="17"/>
        <v>-11.193133352192564</v>
      </c>
    </row>
    <row r="43" spans="1:21" ht="24">
      <c r="A43" s="254">
        <f t="shared" si="13"/>
        <v>37</v>
      </c>
      <c r="B43" s="213" t="s">
        <v>273</v>
      </c>
      <c r="C43" s="23">
        <v>10511759.47</v>
      </c>
      <c r="D43" s="23">
        <v>51807.59</v>
      </c>
      <c r="E43" s="23">
        <v>9657819.850000001</v>
      </c>
      <c r="F43" s="23">
        <v>71196.49</v>
      </c>
      <c r="G43" s="22">
        <f t="shared" si="8"/>
        <v>20292583.400000002</v>
      </c>
      <c r="H43" s="261">
        <v>1</v>
      </c>
      <c r="I43" s="579" t="s">
        <v>87</v>
      </c>
      <c r="J43" s="299">
        <f t="shared" si="2"/>
        <v>20292583.400000002</v>
      </c>
      <c r="K43" s="175">
        <v>8160336.15</v>
      </c>
      <c r="L43" s="175">
        <v>44767.26</v>
      </c>
      <c r="M43" s="175">
        <v>403971.43</v>
      </c>
      <c r="N43" s="175">
        <v>69651.28</v>
      </c>
      <c r="O43" s="22">
        <f t="shared" si="3"/>
        <v>8678726.12</v>
      </c>
      <c r="P43" s="276">
        <v>1</v>
      </c>
      <c r="Q43" s="579" t="s">
        <v>87</v>
      </c>
      <c r="R43" s="299">
        <f t="shared" si="18"/>
        <v>8678726.12</v>
      </c>
      <c r="S43" s="596">
        <f t="shared" si="15"/>
        <v>-57.232029313724546</v>
      </c>
      <c r="T43" s="596">
        <f t="shared" si="16"/>
        <v>0</v>
      </c>
      <c r="U43" s="596">
        <f t="shared" si="17"/>
        <v>-57.232029313724546</v>
      </c>
    </row>
    <row r="44" spans="1:21" ht="72">
      <c r="A44" s="254">
        <f t="shared" si="13"/>
        <v>38</v>
      </c>
      <c r="B44" s="219" t="s">
        <v>334</v>
      </c>
      <c r="C44" s="173">
        <v>10511759.48</v>
      </c>
      <c r="D44" s="173">
        <v>51807.6</v>
      </c>
      <c r="E44" s="173">
        <v>9657819.85</v>
      </c>
      <c r="F44" s="173">
        <v>71196.48</v>
      </c>
      <c r="G44" s="22">
        <f t="shared" si="8"/>
        <v>20292583.41</v>
      </c>
      <c r="H44" s="22">
        <v>888514400</v>
      </c>
      <c r="I44" s="335" t="s">
        <v>326</v>
      </c>
      <c r="J44" s="271">
        <f t="shared" si="2"/>
        <v>0.0228387783135535</v>
      </c>
      <c r="K44" s="176">
        <v>8160336.15</v>
      </c>
      <c r="L44" s="176">
        <v>44767.26</v>
      </c>
      <c r="M44" s="176">
        <v>403971.43</v>
      </c>
      <c r="N44" s="176">
        <v>69651.29</v>
      </c>
      <c r="O44" s="22">
        <f t="shared" si="3"/>
        <v>8678726.129999999</v>
      </c>
      <c r="P44" s="346">
        <v>785729400</v>
      </c>
      <c r="Q44" s="335" t="s">
        <v>326</v>
      </c>
      <c r="R44" s="271">
        <f>+O44/P44</f>
        <v>0.01104543896410138</v>
      </c>
      <c r="S44" s="596">
        <f>(O44-G44)*100/G44</f>
        <v>-57.232029285521115</v>
      </c>
      <c r="T44" s="596">
        <f>(P44-H44)*100/H44</f>
        <v>-11.568186176836301</v>
      </c>
      <c r="U44" s="596">
        <f>(R44-J44)*100/J44</f>
        <v>-51.63734761790412</v>
      </c>
    </row>
    <row r="45" spans="1:21" ht="24">
      <c r="A45" s="254">
        <f t="shared" si="13"/>
        <v>39</v>
      </c>
      <c r="B45" s="213" t="s">
        <v>274</v>
      </c>
      <c r="C45" s="23">
        <v>1384232.37</v>
      </c>
      <c r="D45" s="23">
        <v>18420.4</v>
      </c>
      <c r="E45" s="23">
        <v>137180.77</v>
      </c>
      <c r="F45" s="23">
        <v>24394.88</v>
      </c>
      <c r="G45" s="22">
        <f t="shared" si="8"/>
        <v>1564228.42</v>
      </c>
      <c r="H45" s="261">
        <v>1</v>
      </c>
      <c r="I45" s="80" t="s">
        <v>87</v>
      </c>
      <c r="J45" s="79">
        <f t="shared" si="2"/>
        <v>1564228.42</v>
      </c>
      <c r="K45" s="175">
        <v>1685072.11</v>
      </c>
      <c r="L45" s="175">
        <v>16529.73</v>
      </c>
      <c r="M45" s="175">
        <v>117470.93</v>
      </c>
      <c r="N45" s="175">
        <v>24018.36</v>
      </c>
      <c r="O45" s="22">
        <f t="shared" si="3"/>
        <v>1843091.1300000001</v>
      </c>
      <c r="P45" s="276">
        <v>1</v>
      </c>
      <c r="Q45" s="80" t="s">
        <v>87</v>
      </c>
      <c r="R45" s="299">
        <f aca="true" t="shared" si="19" ref="R45:R54">+O45/P45</f>
        <v>1843091.1300000001</v>
      </c>
      <c r="S45" s="596">
        <f aca="true" t="shared" si="20" ref="S45:S54">(O45-G45)*100/G45</f>
        <v>17.827492867058393</v>
      </c>
      <c r="T45" s="596">
        <f aca="true" t="shared" si="21" ref="T45:T54">(P45-H45)*100/H45</f>
        <v>0</v>
      </c>
      <c r="U45" s="596">
        <f aca="true" t="shared" si="22" ref="U45:U54">(R45-J45)*100/J45</f>
        <v>17.827492867058393</v>
      </c>
    </row>
    <row r="46" spans="1:21" ht="24">
      <c r="A46" s="254">
        <f t="shared" si="13"/>
        <v>40</v>
      </c>
      <c r="B46" s="213" t="s">
        <v>286</v>
      </c>
      <c r="C46" s="176">
        <v>1730290.46</v>
      </c>
      <c r="D46" s="176">
        <v>23025.51</v>
      </c>
      <c r="E46" s="176">
        <v>171475.97</v>
      </c>
      <c r="F46" s="176">
        <v>30493.61</v>
      </c>
      <c r="G46" s="22">
        <f t="shared" si="8"/>
        <v>1955285.55</v>
      </c>
      <c r="H46" s="261">
        <v>1</v>
      </c>
      <c r="I46" s="288" t="s">
        <v>87</v>
      </c>
      <c r="J46" s="79">
        <f t="shared" si="2"/>
        <v>1955285.55</v>
      </c>
      <c r="K46" s="176">
        <v>2106340.14</v>
      </c>
      <c r="L46" s="176">
        <v>20662.16</v>
      </c>
      <c r="M46" s="176">
        <v>146838.66</v>
      </c>
      <c r="N46" s="176">
        <v>30022.96</v>
      </c>
      <c r="O46" s="22">
        <f t="shared" si="3"/>
        <v>2303863.9200000004</v>
      </c>
      <c r="P46" s="277">
        <v>1</v>
      </c>
      <c r="Q46" s="80" t="s">
        <v>87</v>
      </c>
      <c r="R46" s="79">
        <f t="shared" si="19"/>
        <v>2303863.9200000004</v>
      </c>
      <c r="S46" s="596">
        <f t="shared" si="20"/>
        <v>17.8274917441087</v>
      </c>
      <c r="T46" s="596">
        <f t="shared" si="21"/>
        <v>0</v>
      </c>
      <c r="U46" s="596">
        <f t="shared" si="22"/>
        <v>17.8274917441087</v>
      </c>
    </row>
    <row r="47" spans="1:21" ht="24">
      <c r="A47" s="254">
        <f t="shared" si="13"/>
        <v>41</v>
      </c>
      <c r="B47" s="213" t="s">
        <v>287</v>
      </c>
      <c r="C47" s="176">
        <v>346058.09</v>
      </c>
      <c r="D47" s="176">
        <v>4605.1</v>
      </c>
      <c r="E47" s="176">
        <v>34295.19</v>
      </c>
      <c r="F47" s="176">
        <v>6098.72</v>
      </c>
      <c r="G47" s="22">
        <f t="shared" si="8"/>
        <v>391057.1</v>
      </c>
      <c r="H47" s="261">
        <v>25</v>
      </c>
      <c r="I47" s="288" t="s">
        <v>327</v>
      </c>
      <c r="J47" s="79">
        <f t="shared" si="2"/>
        <v>15642.284</v>
      </c>
      <c r="K47" s="176">
        <v>421268.03</v>
      </c>
      <c r="L47" s="176">
        <v>4132.43</v>
      </c>
      <c r="M47" s="176">
        <v>29367.73</v>
      </c>
      <c r="N47" s="176">
        <v>6004.59</v>
      </c>
      <c r="O47" s="22">
        <f t="shared" si="3"/>
        <v>460772.78</v>
      </c>
      <c r="P47" s="277">
        <v>18</v>
      </c>
      <c r="Q47" s="80" t="s">
        <v>327</v>
      </c>
      <c r="R47" s="79">
        <f t="shared" si="19"/>
        <v>25598.48777777778</v>
      </c>
      <c r="S47" s="596">
        <f t="shared" si="20"/>
        <v>17.827493734290993</v>
      </c>
      <c r="T47" s="596">
        <f t="shared" si="21"/>
        <v>-28</v>
      </c>
      <c r="U47" s="596">
        <f>(R47-J47)*100/J47</f>
        <v>63.64929685318193</v>
      </c>
    </row>
    <row r="48" spans="1:21" ht="48">
      <c r="A48" s="254">
        <f t="shared" si="13"/>
        <v>42</v>
      </c>
      <c r="B48" s="262" t="s">
        <v>275</v>
      </c>
      <c r="C48" s="22">
        <v>3060387.13</v>
      </c>
      <c r="D48" s="22">
        <v>56955.91</v>
      </c>
      <c r="E48" s="22">
        <v>290097.22</v>
      </c>
      <c r="F48" s="22">
        <v>121109.57</v>
      </c>
      <c r="G48" s="22">
        <f t="shared" si="8"/>
        <v>3528549.8299999996</v>
      </c>
      <c r="H48" s="260">
        <v>57160</v>
      </c>
      <c r="I48" s="265" t="s">
        <v>88</v>
      </c>
      <c r="J48" s="79">
        <f t="shared" si="2"/>
        <v>61.73110269419173</v>
      </c>
      <c r="K48" s="22">
        <v>3169870.11</v>
      </c>
      <c r="L48" s="22">
        <v>41839.86</v>
      </c>
      <c r="M48" s="22">
        <v>251226.94</v>
      </c>
      <c r="N48" s="22">
        <v>171983.95</v>
      </c>
      <c r="O48" s="22">
        <f t="shared" si="3"/>
        <v>3634920.86</v>
      </c>
      <c r="P48" s="264">
        <v>57120</v>
      </c>
      <c r="Q48" s="265" t="s">
        <v>88</v>
      </c>
      <c r="R48" s="271">
        <f t="shared" si="19"/>
        <v>63.636569677871144</v>
      </c>
      <c r="S48" s="596">
        <f t="shared" si="20"/>
        <v>3.014582055654299</v>
      </c>
      <c r="T48" s="596">
        <f t="shared" si="21"/>
        <v>-0.06997900629811056</v>
      </c>
      <c r="U48" s="596">
        <f t="shared" si="22"/>
        <v>3.086721118718483</v>
      </c>
    </row>
    <row r="49" spans="1:21" ht="24">
      <c r="A49" s="254">
        <f t="shared" si="13"/>
        <v>43</v>
      </c>
      <c r="B49" s="213" t="s">
        <v>276</v>
      </c>
      <c r="C49" s="103">
        <v>4080516.18</v>
      </c>
      <c r="D49" s="103">
        <v>75941.2</v>
      </c>
      <c r="E49" s="103">
        <v>386796.29</v>
      </c>
      <c r="F49" s="103">
        <v>161479.43</v>
      </c>
      <c r="G49" s="22">
        <f t="shared" si="8"/>
        <v>4704733.1</v>
      </c>
      <c r="H49" s="261">
        <v>98942</v>
      </c>
      <c r="I49" s="80" t="s">
        <v>89</v>
      </c>
      <c r="J49" s="79">
        <f t="shared" si="2"/>
        <v>47.55041438418467</v>
      </c>
      <c r="K49" s="176">
        <v>4226493.48</v>
      </c>
      <c r="L49" s="176">
        <v>55786.48</v>
      </c>
      <c r="M49" s="176">
        <v>334969.25</v>
      </c>
      <c r="N49" s="176">
        <v>229311.93</v>
      </c>
      <c r="O49" s="22">
        <f t="shared" si="3"/>
        <v>4846561.140000001</v>
      </c>
      <c r="P49" s="277">
        <v>95369</v>
      </c>
      <c r="Q49" s="80" t="s">
        <v>89</v>
      </c>
      <c r="R49" s="79">
        <f t="shared" si="19"/>
        <v>50.81904119787353</v>
      </c>
      <c r="S49" s="596">
        <f t="shared" si="20"/>
        <v>3.0145820599260134</v>
      </c>
      <c r="T49" s="596">
        <f t="shared" si="21"/>
        <v>-3.611206565462594</v>
      </c>
      <c r="U49" s="596">
        <f t="shared" si="22"/>
        <v>6.87402382507104</v>
      </c>
    </row>
    <row r="50" spans="1:21" ht="24">
      <c r="A50" s="254">
        <f t="shared" si="13"/>
        <v>44</v>
      </c>
      <c r="B50" s="213" t="s">
        <v>333</v>
      </c>
      <c r="C50" s="173">
        <v>3060387.13</v>
      </c>
      <c r="D50" s="173">
        <v>56955.91</v>
      </c>
      <c r="E50" s="173">
        <v>290097.22</v>
      </c>
      <c r="F50" s="173">
        <v>121109.57</v>
      </c>
      <c r="G50" s="22">
        <f t="shared" si="8"/>
        <v>3528549.8299999996</v>
      </c>
      <c r="H50" s="22">
        <v>365</v>
      </c>
      <c r="I50" s="80" t="s">
        <v>4</v>
      </c>
      <c r="J50" s="79">
        <f t="shared" si="2"/>
        <v>9667.259808219176</v>
      </c>
      <c r="K50" s="176">
        <v>3169870.12</v>
      </c>
      <c r="L50" s="176">
        <v>41839.85</v>
      </c>
      <c r="M50" s="176">
        <v>251226.94</v>
      </c>
      <c r="N50" s="176">
        <v>171983.96</v>
      </c>
      <c r="O50" s="22">
        <f t="shared" si="3"/>
        <v>3634920.87</v>
      </c>
      <c r="P50" s="277">
        <v>343</v>
      </c>
      <c r="Q50" s="80" t="s">
        <v>4</v>
      </c>
      <c r="R50" s="79">
        <f t="shared" si="19"/>
        <v>10597.43693877551</v>
      </c>
      <c r="S50" s="596">
        <f t="shared" si="20"/>
        <v>3.0145823390568505</v>
      </c>
      <c r="T50" s="596">
        <f t="shared" si="21"/>
        <v>-6.027397260273973</v>
      </c>
      <c r="U50" s="596">
        <f t="shared" si="22"/>
        <v>9.62193164360278</v>
      </c>
    </row>
    <row r="51" spans="1:21" ht="24">
      <c r="A51" s="254">
        <f t="shared" si="13"/>
        <v>45</v>
      </c>
      <c r="B51" s="213" t="s">
        <v>451</v>
      </c>
      <c r="C51" s="23">
        <v>11849338.7</v>
      </c>
      <c r="D51" s="23">
        <v>74842.27</v>
      </c>
      <c r="E51" s="23">
        <v>1168006.59</v>
      </c>
      <c r="F51" s="23">
        <v>1292151.9</v>
      </c>
      <c r="G51" s="22">
        <f t="shared" si="8"/>
        <v>14384339.459999999</v>
      </c>
      <c r="H51" s="266">
        <v>1</v>
      </c>
      <c r="I51" s="80" t="s">
        <v>99</v>
      </c>
      <c r="J51" s="79">
        <f t="shared" si="2"/>
        <v>14384339.459999999</v>
      </c>
      <c r="K51" s="175">
        <v>10669908.5</v>
      </c>
      <c r="L51" s="175">
        <v>62003.97</v>
      </c>
      <c r="M51" s="175">
        <v>915776.43</v>
      </c>
      <c r="N51" s="175">
        <v>1300633.46</v>
      </c>
      <c r="O51" s="22">
        <f t="shared" si="3"/>
        <v>12948322.36</v>
      </c>
      <c r="P51" s="276">
        <v>1</v>
      </c>
      <c r="Q51" s="80" t="s">
        <v>99</v>
      </c>
      <c r="R51" s="79">
        <f t="shared" si="19"/>
        <v>12948322.36</v>
      </c>
      <c r="S51" s="596">
        <f t="shared" si="20"/>
        <v>-9.983198074498166</v>
      </c>
      <c r="T51" s="596">
        <f t="shared" si="21"/>
        <v>0</v>
      </c>
      <c r="U51" s="596">
        <f t="shared" si="22"/>
        <v>-9.983198074498166</v>
      </c>
    </row>
    <row r="52" spans="1:21" ht="24">
      <c r="A52" s="254">
        <f t="shared" si="13"/>
        <v>46</v>
      </c>
      <c r="B52" s="219" t="s">
        <v>278</v>
      </c>
      <c r="C52" s="22">
        <v>6112204.4</v>
      </c>
      <c r="D52" s="22">
        <v>86345.77</v>
      </c>
      <c r="E52" s="22">
        <v>586221.26</v>
      </c>
      <c r="F52" s="22">
        <v>108307.18</v>
      </c>
      <c r="G52" s="22">
        <f t="shared" si="8"/>
        <v>6893078.609999999</v>
      </c>
      <c r="H52" s="558">
        <v>10165</v>
      </c>
      <c r="I52" s="104" t="s">
        <v>100</v>
      </c>
      <c r="J52" s="79">
        <f t="shared" si="2"/>
        <v>678.1188991637973</v>
      </c>
      <c r="K52" s="22">
        <v>6289266.32</v>
      </c>
      <c r="L52" s="22">
        <v>77481.22</v>
      </c>
      <c r="M52" s="22">
        <v>583371.77</v>
      </c>
      <c r="N52" s="22">
        <v>110358.55</v>
      </c>
      <c r="O52" s="22">
        <f t="shared" si="3"/>
        <v>7060477.86</v>
      </c>
      <c r="P52" s="264">
        <v>10282</v>
      </c>
      <c r="Q52" s="104" t="s">
        <v>100</v>
      </c>
      <c r="R52" s="271">
        <f t="shared" si="19"/>
        <v>686.6833164753939</v>
      </c>
      <c r="S52" s="596">
        <f t="shared" si="20"/>
        <v>2.428512127471602</v>
      </c>
      <c r="T52" s="596">
        <f t="shared" si="21"/>
        <v>1.1510083620265616</v>
      </c>
      <c r="U52" s="596">
        <f t="shared" si="22"/>
        <v>1.2629669106933215</v>
      </c>
    </row>
    <row r="53" spans="1:21" ht="24">
      <c r="A53" s="254">
        <f t="shared" si="13"/>
        <v>47</v>
      </c>
      <c r="B53" s="213" t="s">
        <v>279</v>
      </c>
      <c r="C53" s="103">
        <v>5292776</v>
      </c>
      <c r="D53" s="103">
        <v>51811.26</v>
      </c>
      <c r="E53" s="103">
        <v>197588.81</v>
      </c>
      <c r="F53" s="103">
        <v>128025.82</v>
      </c>
      <c r="G53" s="22">
        <f t="shared" si="8"/>
        <v>5670201.89</v>
      </c>
      <c r="H53" s="263">
        <v>94</v>
      </c>
      <c r="I53" s="99" t="s">
        <v>4</v>
      </c>
      <c r="J53" s="79">
        <f t="shared" si="2"/>
        <v>60321.296702127656</v>
      </c>
      <c r="K53" s="176">
        <v>4839222.1</v>
      </c>
      <c r="L53" s="176">
        <v>46489.73</v>
      </c>
      <c r="M53" s="176">
        <v>202982.59</v>
      </c>
      <c r="N53" s="176">
        <v>127226.1</v>
      </c>
      <c r="O53" s="22">
        <f t="shared" si="3"/>
        <v>5215920.52</v>
      </c>
      <c r="P53" s="277">
        <v>94</v>
      </c>
      <c r="Q53" s="99" t="s">
        <v>4</v>
      </c>
      <c r="R53" s="79">
        <f t="shared" si="19"/>
        <v>55488.51617021276</v>
      </c>
      <c r="S53" s="596">
        <f t="shared" si="20"/>
        <v>-8.011731836236262</v>
      </c>
      <c r="T53" s="596">
        <f t="shared" si="21"/>
        <v>0</v>
      </c>
      <c r="U53" s="596">
        <f t="shared" si="22"/>
        <v>-8.011731836236265</v>
      </c>
    </row>
    <row r="54" spans="1:21" ht="24">
      <c r="A54" s="254">
        <f t="shared" si="13"/>
        <v>48</v>
      </c>
      <c r="B54" s="213" t="s">
        <v>280</v>
      </c>
      <c r="C54" s="128">
        <v>3581802.58</v>
      </c>
      <c r="D54" s="128">
        <v>34537.51</v>
      </c>
      <c r="E54" s="128">
        <v>319330.93</v>
      </c>
      <c r="F54" s="128">
        <v>43167.67</v>
      </c>
      <c r="G54" s="22">
        <f t="shared" si="8"/>
        <v>3978838.69</v>
      </c>
      <c r="H54" s="267">
        <v>2970</v>
      </c>
      <c r="I54" s="127" t="s">
        <v>101</v>
      </c>
      <c r="J54" s="79">
        <f t="shared" si="2"/>
        <v>1339.6763265993266</v>
      </c>
      <c r="K54" s="177">
        <v>3171602.3</v>
      </c>
      <c r="L54" s="177">
        <v>36158.9</v>
      </c>
      <c r="M54" s="177">
        <v>404997.18</v>
      </c>
      <c r="N54" s="177">
        <v>51500.66</v>
      </c>
      <c r="O54" s="22">
        <f t="shared" si="3"/>
        <v>3664259.04</v>
      </c>
      <c r="P54" s="278">
        <v>3000</v>
      </c>
      <c r="Q54" s="141" t="s">
        <v>101</v>
      </c>
      <c r="R54" s="79">
        <f t="shared" si="19"/>
        <v>1221.41968</v>
      </c>
      <c r="S54" s="596">
        <f t="shared" si="20"/>
        <v>-7.90631826293013</v>
      </c>
      <c r="T54" s="596">
        <f t="shared" si="21"/>
        <v>1.0101010101010102</v>
      </c>
      <c r="U54" s="596">
        <f t="shared" si="22"/>
        <v>-8.82725508030083</v>
      </c>
    </row>
    <row r="55" spans="1:21" ht="24.75" thickBot="1">
      <c r="A55" s="255"/>
      <c r="B55" s="216"/>
      <c r="C55" s="83">
        <f>SUM(C6:C54)</f>
        <v>729578019.5676011</v>
      </c>
      <c r="D55" s="83">
        <f>SUM(D6:D54)</f>
        <v>6699652.060687997</v>
      </c>
      <c r="E55" s="83">
        <f>SUM(E6:E54)</f>
        <v>71232699.16038802</v>
      </c>
      <c r="F55" s="83">
        <f>SUM(F6:F54)</f>
        <v>29570384.174604</v>
      </c>
      <c r="G55" s="83">
        <f>SUM(G6:G54)</f>
        <v>837080754.963281</v>
      </c>
      <c r="H55" s="259"/>
      <c r="I55" s="25"/>
      <c r="J55" s="178"/>
      <c r="K55" s="178">
        <f>SUM(K6:K54)</f>
        <v>650912478.3199999</v>
      </c>
      <c r="L55" s="178">
        <f>SUM(L6:L54)</f>
        <v>5226768.2</v>
      </c>
      <c r="M55" s="178">
        <f>SUM(M6:M54)</f>
        <v>106385868.93000002</v>
      </c>
      <c r="N55" s="178">
        <f>SUM(N6:N54)</f>
        <v>29186122.25</v>
      </c>
      <c r="O55" s="178">
        <f>SUM(O6:O54)</f>
        <v>791711237.6999997</v>
      </c>
      <c r="P55" s="279"/>
      <c r="Q55" s="25"/>
      <c r="R55" s="83"/>
      <c r="S55" s="597"/>
      <c r="T55" s="597"/>
      <c r="U55" s="598"/>
    </row>
    <row r="56" spans="2:8" ht="24.75" thickTop="1">
      <c r="B56" s="29"/>
      <c r="C56" s="54"/>
      <c r="D56" s="29"/>
      <c r="E56" s="29"/>
      <c r="F56" s="27"/>
      <c r="G56" s="54"/>
      <c r="H56" s="118"/>
    </row>
    <row r="57" spans="2:8" ht="24">
      <c r="B57" s="29"/>
      <c r="C57" s="54"/>
      <c r="D57" s="29"/>
      <c r="E57" s="29"/>
      <c r="F57" s="27"/>
      <c r="G57" s="54"/>
      <c r="H57" s="118"/>
    </row>
    <row r="58" spans="2:8" ht="24">
      <c r="B58" s="29"/>
      <c r="C58" s="54"/>
      <c r="D58" s="29"/>
      <c r="E58" s="29"/>
      <c r="F58" s="27"/>
      <c r="G58" s="54"/>
      <c r="H58" s="118"/>
    </row>
    <row r="59" spans="2:8" ht="24">
      <c r="B59" s="29"/>
      <c r="C59" s="54"/>
      <c r="D59" s="29"/>
      <c r="E59" s="29"/>
      <c r="F59" s="27"/>
      <c r="G59" s="54"/>
      <c r="H59" s="118"/>
    </row>
    <row r="60" spans="2:8" ht="24">
      <c r="B60" s="29"/>
      <c r="C60" s="29"/>
      <c r="D60" s="29"/>
      <c r="E60" s="29"/>
      <c r="F60" s="27"/>
      <c r="G60" s="54"/>
      <c r="H60" s="118"/>
    </row>
    <row r="61" spans="2:8" ht="24">
      <c r="B61" s="29"/>
      <c r="C61" s="54"/>
      <c r="D61" s="29"/>
      <c r="E61" s="29"/>
      <c r="F61" s="27"/>
      <c r="G61" s="54"/>
      <c r="H61" s="118"/>
    </row>
    <row r="62" spans="2:8" ht="24">
      <c r="B62" s="29"/>
      <c r="C62" s="29"/>
      <c r="D62" s="29"/>
      <c r="E62" s="29"/>
      <c r="F62" s="27"/>
      <c r="G62" s="54"/>
      <c r="H62" s="118"/>
    </row>
    <row r="63" spans="2:8" ht="24">
      <c r="B63" s="29"/>
      <c r="C63" s="29"/>
      <c r="D63" s="29"/>
      <c r="E63" s="29"/>
      <c r="F63" s="27"/>
      <c r="G63" s="54"/>
      <c r="H63" s="118"/>
    </row>
    <row r="64" spans="2:8" ht="24">
      <c r="B64" s="29"/>
      <c r="C64" s="54"/>
      <c r="D64" s="29"/>
      <c r="E64" s="29"/>
      <c r="F64" s="27"/>
      <c r="G64" s="54"/>
      <c r="H64" s="118"/>
    </row>
    <row r="65" spans="2:8" ht="24">
      <c r="B65" s="29"/>
      <c r="C65" s="54"/>
      <c r="D65" s="29"/>
      <c r="E65" s="29"/>
      <c r="F65" s="27"/>
      <c r="G65" s="54"/>
      <c r="H65" s="118"/>
    </row>
    <row r="66" spans="2:8" ht="24">
      <c r="B66" s="29"/>
      <c r="C66" s="54"/>
      <c r="D66" s="29"/>
      <c r="E66" s="29"/>
      <c r="F66" s="27"/>
      <c r="G66" s="54"/>
      <c r="H66" s="118"/>
    </row>
    <row r="67" spans="2:8" ht="24">
      <c r="B67" s="29"/>
      <c r="C67" s="29"/>
      <c r="D67" s="29"/>
      <c r="E67" s="29"/>
      <c r="F67" s="27"/>
      <c r="G67" s="54"/>
      <c r="H67" s="118"/>
    </row>
    <row r="68" spans="2:8" ht="24">
      <c r="B68" s="29"/>
      <c r="C68" s="29"/>
      <c r="D68" s="29"/>
      <c r="E68" s="29"/>
      <c r="F68" s="27"/>
      <c r="G68" s="54"/>
      <c r="H68" s="118"/>
    </row>
    <row r="69" spans="2:8" ht="24">
      <c r="B69" s="29"/>
      <c r="C69" s="54"/>
      <c r="D69" s="29"/>
      <c r="E69" s="29"/>
      <c r="F69" s="27"/>
      <c r="G69" s="54"/>
      <c r="H69" s="118"/>
    </row>
    <row r="70" spans="2:8" ht="24">
      <c r="B70" s="29"/>
      <c r="C70" s="54"/>
      <c r="D70" s="29"/>
      <c r="E70" s="29"/>
      <c r="F70" s="27"/>
      <c r="G70" s="54"/>
      <c r="H70" s="118"/>
    </row>
    <row r="71" spans="2:8" ht="24">
      <c r="B71" s="29"/>
      <c r="C71" s="54"/>
      <c r="D71" s="29"/>
      <c r="E71" s="29"/>
      <c r="F71" s="27"/>
      <c r="G71" s="54"/>
      <c r="H71" s="118"/>
    </row>
    <row r="72" spans="2:8" ht="24">
      <c r="B72" s="29"/>
      <c r="C72" s="29"/>
      <c r="D72" s="29"/>
      <c r="E72" s="29"/>
      <c r="F72" s="27"/>
      <c r="G72" s="54"/>
      <c r="H72" s="118"/>
    </row>
    <row r="73" spans="2:8" ht="24">
      <c r="B73" s="29"/>
      <c r="C73" s="54"/>
      <c r="D73" s="29"/>
      <c r="E73" s="29"/>
      <c r="F73" s="27"/>
      <c r="G73" s="54"/>
      <c r="H73" s="118"/>
    </row>
    <row r="74" spans="2:8" ht="24">
      <c r="B74" s="55"/>
      <c r="C74" s="55"/>
      <c r="D74" s="55"/>
      <c r="E74" s="55"/>
      <c r="F74" s="55"/>
      <c r="G74" s="54"/>
      <c r="H74" s="118"/>
    </row>
    <row r="75" spans="2:8" ht="24">
      <c r="B75" s="54"/>
      <c r="C75" s="54"/>
      <c r="D75" s="54"/>
      <c r="E75" s="54"/>
      <c r="F75" s="54"/>
      <c r="G75" s="54"/>
      <c r="H75" s="118"/>
    </row>
    <row r="76" spans="2:8" ht="24">
      <c r="B76" s="54"/>
      <c r="C76" s="54"/>
      <c r="D76" s="54"/>
      <c r="E76" s="54"/>
      <c r="F76" s="54"/>
      <c r="G76" s="54"/>
      <c r="H76" s="118"/>
    </row>
    <row r="77" spans="2:8" ht="24">
      <c r="B77" s="54"/>
      <c r="C77" s="54"/>
      <c r="D77" s="54"/>
      <c r="E77" s="54"/>
      <c r="F77" s="54"/>
      <c r="G77" s="54"/>
      <c r="H77" s="118"/>
    </row>
    <row r="78" spans="2:8" ht="24">
      <c r="B78" s="54"/>
      <c r="C78" s="54"/>
      <c r="D78" s="54"/>
      <c r="E78" s="54"/>
      <c r="F78" s="54"/>
      <c r="G78" s="54"/>
      <c r="H78" s="118"/>
    </row>
    <row r="79" spans="2:8" ht="24">
      <c r="B79" s="54"/>
      <c r="C79" s="54"/>
      <c r="D79" s="54"/>
      <c r="E79" s="54"/>
      <c r="F79" s="54"/>
      <c r="G79" s="54"/>
      <c r="H79" s="118"/>
    </row>
    <row r="80" spans="2:8" ht="24">
      <c r="B80" s="54"/>
      <c r="C80" s="54"/>
      <c r="D80" s="54"/>
      <c r="E80" s="54"/>
      <c r="F80" s="54"/>
      <c r="G80" s="54"/>
      <c r="H80" s="118"/>
    </row>
  </sheetData>
  <sheetProtection/>
  <mergeCells count="6">
    <mergeCell ref="B1:U1"/>
    <mergeCell ref="S2:U2"/>
    <mergeCell ref="B3:B4"/>
    <mergeCell ref="C3:J3"/>
    <mergeCell ref="K3:R3"/>
    <mergeCell ref="S3:U3"/>
  </mergeCells>
  <printOptions horizontalCentered="1"/>
  <pageMargins left="0.393700787401575" right="0" top="0.3" bottom="0.2" header="0.511811023622047" footer="0.511811023622047"/>
  <pageSetup orientation="landscape" paperSize="5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16.140625" style="180" customWidth="1"/>
    <col min="2" max="6" width="9.140625" style="180" customWidth="1"/>
    <col min="7" max="7" width="7.8515625" style="180" customWidth="1"/>
    <col min="8" max="13" width="9.140625" style="180" customWidth="1"/>
    <col min="14" max="14" width="12.00390625" style="180" customWidth="1"/>
    <col min="15" max="15" width="13.140625" style="180" customWidth="1"/>
    <col min="16" max="16384" width="9.140625" style="180" customWidth="1"/>
  </cols>
  <sheetData>
    <row r="1" spans="1:2" ht="24">
      <c r="A1" s="179" t="s">
        <v>47</v>
      </c>
      <c r="B1" s="180" t="s">
        <v>48</v>
      </c>
    </row>
    <row r="2" ht="9" customHeight="1"/>
    <row r="3" spans="1:15" ht="162" customHeight="1">
      <c r="A3" s="635" t="s">
        <v>443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298"/>
    </row>
    <row r="4" spans="1:15" ht="56.25" customHeight="1">
      <c r="A4" s="635" t="s">
        <v>396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298"/>
    </row>
    <row r="5" spans="1:15" ht="161.25" customHeight="1">
      <c r="A5" s="635" t="s">
        <v>418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298"/>
    </row>
    <row r="6" spans="1:15" ht="72" customHeight="1">
      <c r="A6" s="635" t="s">
        <v>442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298"/>
    </row>
    <row r="7" spans="1:15" ht="69" customHeight="1">
      <c r="A7" s="635" t="s">
        <v>432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298"/>
    </row>
    <row r="8" spans="1:15" ht="53.25" customHeight="1">
      <c r="A8" s="635" t="s">
        <v>410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298"/>
    </row>
    <row r="9" spans="1:15" ht="95.25" customHeight="1">
      <c r="A9" s="635" t="s">
        <v>419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298"/>
    </row>
    <row r="10" spans="1:15" ht="91.5" customHeight="1">
      <c r="A10" s="635" t="s">
        <v>420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298"/>
    </row>
    <row r="11" spans="1:15" s="565" customFormat="1" ht="46.5" customHeight="1">
      <c r="A11" s="635" t="s">
        <v>397</v>
      </c>
      <c r="B11" s="635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564"/>
    </row>
    <row r="12" spans="1:15" s="565" customFormat="1" ht="93.75" customHeight="1">
      <c r="A12" s="635" t="s">
        <v>421</v>
      </c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564"/>
    </row>
    <row r="13" spans="1:15" s="565" customFormat="1" ht="93.75" customHeight="1">
      <c r="A13" s="635" t="s">
        <v>422</v>
      </c>
      <c r="B13" s="635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564"/>
    </row>
    <row r="14" spans="1:15" s="565" customFormat="1" ht="66" customHeight="1">
      <c r="A14" s="635" t="s">
        <v>398</v>
      </c>
      <c r="B14" s="635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564"/>
    </row>
    <row r="39" spans="1:16" ht="24" hidden="1">
      <c r="A39" s="181" t="s">
        <v>14</v>
      </c>
      <c r="B39" s="182" t="s">
        <v>182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</row>
    <row r="40" spans="1:16" ht="24" hidden="1">
      <c r="A40" s="195" t="s">
        <v>183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6" ht="24" hidden="1">
      <c r="A41" s="182" t="s">
        <v>184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1:16" ht="24" hidden="1">
      <c r="A42" s="182" t="s">
        <v>185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spans="1:16" ht="24" hidden="1">
      <c r="A43" s="182" t="s">
        <v>186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</row>
    <row r="44" spans="1:16" ht="24" hidden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</row>
    <row r="45" spans="1:16" ht="24" hidden="1">
      <c r="A45" s="181" t="s">
        <v>14</v>
      </c>
      <c r="B45" s="182" t="s">
        <v>196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</row>
    <row r="46" spans="1:16" ht="24" hidden="1">
      <c r="A46" s="182" t="s">
        <v>197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</row>
    <row r="47" spans="1:16" ht="24" hidden="1">
      <c r="A47" s="182" t="s">
        <v>215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" ht="24" hidden="1">
      <c r="A48" s="182" t="s">
        <v>198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9" spans="1:16" ht="24" hidden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</row>
    <row r="50" spans="1:16" ht="24" hidden="1">
      <c r="A50" s="181" t="s">
        <v>14</v>
      </c>
      <c r="B50" s="182" t="s">
        <v>199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</row>
    <row r="51" spans="1:16" ht="24" hidden="1">
      <c r="A51" s="182" t="s">
        <v>232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</row>
    <row r="52" spans="1:16" ht="24" hidden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</row>
    <row r="53" spans="1:16" ht="24" hidden="1">
      <c r="A53" s="181" t="s">
        <v>14</v>
      </c>
      <c r="B53" s="182" t="s">
        <v>200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</row>
    <row r="54" spans="1:16" ht="24" hidden="1">
      <c r="A54" s="182" t="s">
        <v>201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 ht="24" hidden="1">
      <c r="A55" s="182" t="s">
        <v>202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  <row r="56" spans="1:16" ht="24" hidden="1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</row>
    <row r="57" spans="1:16" ht="24" hidden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</row>
    <row r="58" spans="1:16" ht="24" hidden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  <row r="59" spans="1:16" ht="24" hidden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</row>
    <row r="60" spans="1:16" ht="24" hidden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</row>
    <row r="61" spans="1:16" ht="24" hidden="1">
      <c r="A61" s="181" t="s">
        <v>14</v>
      </c>
      <c r="B61" s="182" t="s">
        <v>203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</row>
    <row r="62" spans="1:16" ht="24" hidden="1">
      <c r="A62" s="182" t="s">
        <v>216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</row>
    <row r="63" spans="1:16" ht="24" hidden="1">
      <c r="A63" s="182" t="s">
        <v>233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</row>
    <row r="64" spans="1:16" ht="24" hidden="1">
      <c r="A64" s="182" t="s">
        <v>204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</row>
    <row r="65" spans="1:16" ht="24" hidden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</row>
    <row r="66" spans="1:16" ht="24" hidden="1">
      <c r="A66" s="181" t="s">
        <v>14</v>
      </c>
      <c r="B66" s="182" t="s">
        <v>205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6" ht="24" hidden="1">
      <c r="A67" s="182" t="s">
        <v>206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ht="24" hidden="1">
      <c r="A68" s="182" t="s">
        <v>217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ht="24" hidden="1">
      <c r="A69" s="182" t="s">
        <v>218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ht="24" hidden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</row>
    <row r="71" spans="1:16" ht="24" hidden="1">
      <c r="A71" s="181" t="s">
        <v>14</v>
      </c>
      <c r="B71" s="182" t="s">
        <v>207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</row>
    <row r="72" spans="1:16" ht="24" hidden="1">
      <c r="A72" s="182" t="s">
        <v>208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</row>
    <row r="73" spans="1:16" ht="24" hidden="1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</row>
    <row r="74" spans="1:16" ht="24" hidden="1">
      <c r="A74" s="181" t="s">
        <v>14</v>
      </c>
      <c r="B74" s="182" t="s">
        <v>234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24" hidden="1">
      <c r="A75" s="182" t="s">
        <v>209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</row>
    <row r="76" spans="1:16" ht="24" hidden="1">
      <c r="A76" s="182" t="s">
        <v>210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24" hidden="1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</row>
    <row r="78" spans="1:16" ht="24" hidden="1">
      <c r="A78" s="181" t="s">
        <v>14</v>
      </c>
      <c r="B78" s="182" t="s">
        <v>211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</row>
    <row r="79" spans="1:16" ht="24" hidden="1">
      <c r="A79" s="182" t="s">
        <v>219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</row>
    <row r="80" spans="1:16" ht="24" hidden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</row>
    <row r="81" spans="1:16" ht="24" hidden="1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</row>
    <row r="82" spans="1:16" ht="24" hidden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</row>
    <row r="83" spans="1:16" ht="24" hidden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</row>
    <row r="84" spans="1:16" ht="24" hidden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</row>
    <row r="85" spans="1:16" ht="24" hidden="1">
      <c r="A85" s="181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</row>
    <row r="86" spans="1:16" ht="24" hidden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</row>
    <row r="87" spans="1:16" ht="24" hidden="1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</row>
    <row r="88" spans="1:16" ht="24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</row>
    <row r="89" spans="1:16" ht="24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</row>
    <row r="90" spans="1:16" ht="24">
      <c r="A90" s="181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</row>
    <row r="91" spans="1:16" ht="24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ht="24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</row>
    <row r="93" spans="1:16" ht="24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</row>
    <row r="94" spans="1:16" ht="24">
      <c r="A94" s="194"/>
      <c r="B94" s="193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</row>
    <row r="95" spans="1:16" ht="24">
      <c r="A95" s="193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</row>
    <row r="96" spans="1:16" ht="24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</row>
    <row r="98" spans="1:2" ht="24">
      <c r="A98" s="133"/>
      <c r="B98" s="54"/>
    </row>
    <row r="99" spans="1:2" ht="24">
      <c r="A99" s="54"/>
      <c r="B99" s="54"/>
    </row>
  </sheetData>
  <sheetProtection/>
  <mergeCells count="12">
    <mergeCell ref="A12:N12"/>
    <mergeCell ref="A13:N13"/>
    <mergeCell ref="A14:N14"/>
    <mergeCell ref="A3:N3"/>
    <mergeCell ref="A6:N6"/>
    <mergeCell ref="A9:N9"/>
    <mergeCell ref="A11:N11"/>
    <mergeCell ref="A7:N7"/>
    <mergeCell ref="A4:N4"/>
    <mergeCell ref="A5:N5"/>
    <mergeCell ref="A8:N8"/>
    <mergeCell ref="A10:N10"/>
  </mergeCells>
  <printOptions horizontalCentered="1"/>
  <pageMargins left="0.696850394" right="0.196850393700787" top="0.696850394" bottom="0.15748031496063" header="0.236220472440945" footer="0.1574803149606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3">
      <selection activeCell="A16" sqref="A16:N16"/>
    </sheetView>
  </sheetViews>
  <sheetFormatPr defaultColWidth="9.140625" defaultRowHeight="12.75"/>
  <cols>
    <col min="1" max="1" width="16.140625" style="180" customWidth="1"/>
    <col min="2" max="6" width="9.140625" style="180" customWidth="1"/>
    <col min="7" max="7" width="7.8515625" style="180" customWidth="1"/>
    <col min="8" max="13" width="9.140625" style="180" customWidth="1"/>
    <col min="14" max="14" width="12.00390625" style="180" customWidth="1"/>
    <col min="15" max="15" width="13.140625" style="180" customWidth="1"/>
    <col min="16" max="16384" width="9.140625" style="180" customWidth="1"/>
  </cols>
  <sheetData>
    <row r="1" spans="1:2" ht="24">
      <c r="A1" s="179" t="s">
        <v>47</v>
      </c>
      <c r="B1" s="180" t="s">
        <v>48</v>
      </c>
    </row>
    <row r="3" spans="1:15" ht="56.25" customHeight="1">
      <c r="A3" s="636" t="s">
        <v>367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298"/>
    </row>
    <row r="4" spans="1:15" ht="102.75" customHeight="1">
      <c r="A4" s="637" t="s">
        <v>300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298"/>
    </row>
    <row r="5" spans="1:15" ht="57.75" customHeight="1">
      <c r="A5" s="637" t="s">
        <v>301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298"/>
    </row>
    <row r="6" spans="1:15" ht="138" customHeight="1">
      <c r="A6" s="637" t="s">
        <v>302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298"/>
    </row>
    <row r="7" spans="1:15" ht="68.25" customHeight="1">
      <c r="A7" s="637" t="s">
        <v>303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298"/>
    </row>
    <row r="8" spans="1:15" ht="157.5" customHeight="1">
      <c r="A8" s="637" t="s">
        <v>305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298"/>
    </row>
    <row r="9" spans="1:15" ht="71.25" customHeight="1">
      <c r="A9" s="637" t="s">
        <v>304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298"/>
    </row>
    <row r="10" spans="1:15" ht="106.5" customHeight="1">
      <c r="A10" s="637" t="s">
        <v>307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298"/>
    </row>
    <row r="11" spans="1:15" ht="106.5" customHeight="1">
      <c r="A11" s="637" t="s">
        <v>306</v>
      </c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298"/>
    </row>
    <row r="12" spans="1:15" ht="108.75" customHeight="1">
      <c r="A12" s="637" t="s">
        <v>312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298"/>
    </row>
    <row r="13" spans="1:15" ht="107.25" customHeight="1">
      <c r="A13" s="637" t="s">
        <v>309</v>
      </c>
      <c r="B13" s="637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298"/>
    </row>
    <row r="14" spans="1:15" ht="107.25" customHeight="1">
      <c r="A14" s="637" t="s">
        <v>308</v>
      </c>
      <c r="B14" s="637"/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298"/>
    </row>
    <row r="15" spans="1:15" ht="64.5" customHeight="1">
      <c r="A15" s="637" t="s">
        <v>310</v>
      </c>
      <c r="B15" s="637"/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298"/>
    </row>
    <row r="16" spans="1:15" ht="78" customHeight="1">
      <c r="A16" s="637" t="s">
        <v>311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298"/>
    </row>
    <row r="41" spans="1:16" ht="24" hidden="1">
      <c r="A41" s="181" t="s">
        <v>14</v>
      </c>
      <c r="B41" s="182" t="s">
        <v>182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1:16" ht="24" hidden="1">
      <c r="A42" s="195" t="s">
        <v>183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</row>
    <row r="43" spans="1:16" ht="24" hidden="1">
      <c r="A43" s="182" t="s">
        <v>184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</row>
    <row r="44" spans="1:16" ht="24" hidden="1">
      <c r="A44" s="182" t="s">
        <v>185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</row>
    <row r="45" spans="1:16" ht="24" hidden="1">
      <c r="A45" s="182" t="s">
        <v>186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</row>
    <row r="46" spans="1:16" ht="24" hidden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</row>
    <row r="47" spans="1:16" ht="24" hidden="1">
      <c r="A47" s="181" t="s">
        <v>14</v>
      </c>
      <c r="B47" s="182" t="s">
        <v>196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" ht="24" hidden="1">
      <c r="A48" s="182" t="s">
        <v>197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9" spans="1:16" ht="24" hidden="1">
      <c r="A49" s="182" t="s">
        <v>215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</row>
    <row r="50" spans="1:16" ht="24" hidden="1">
      <c r="A50" s="182" t="s">
        <v>198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</row>
    <row r="51" spans="1:16" ht="24" hidden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</row>
    <row r="52" spans="1:16" ht="24" hidden="1">
      <c r="A52" s="181" t="s">
        <v>14</v>
      </c>
      <c r="B52" s="182" t="s">
        <v>199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</row>
    <row r="53" spans="1:16" ht="24" hidden="1">
      <c r="A53" s="182" t="s">
        <v>232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</row>
    <row r="54" spans="1:16" ht="24" hidden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 ht="24" hidden="1">
      <c r="A55" s="181" t="s">
        <v>14</v>
      </c>
      <c r="B55" s="182" t="s">
        <v>200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  <row r="56" spans="1:16" ht="24" hidden="1">
      <c r="A56" s="182" t="s">
        <v>201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</row>
    <row r="57" spans="1:16" ht="24" hidden="1">
      <c r="A57" s="182" t="s">
        <v>202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</row>
    <row r="58" spans="1:16" ht="24" hidden="1">
      <c r="A58" s="181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  <row r="59" spans="1:16" ht="24" hidden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</row>
    <row r="60" spans="1:16" ht="24" hidden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</row>
    <row r="61" spans="1:16" ht="24" hidden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</row>
    <row r="62" spans="1:16" ht="24" hidden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</row>
    <row r="63" spans="1:16" ht="24" hidden="1">
      <c r="A63" s="181" t="s">
        <v>14</v>
      </c>
      <c r="B63" s="182" t="s">
        <v>203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</row>
    <row r="64" spans="1:16" ht="24" hidden="1">
      <c r="A64" s="182" t="s">
        <v>216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</row>
    <row r="65" spans="1:16" ht="24" hidden="1">
      <c r="A65" s="182" t="s">
        <v>233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</row>
    <row r="66" spans="1:16" ht="24" hidden="1">
      <c r="A66" s="182" t="s">
        <v>204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6" ht="24" hidden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ht="24" hidden="1">
      <c r="A68" s="181" t="s">
        <v>14</v>
      </c>
      <c r="B68" s="182" t="s">
        <v>205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ht="24" hidden="1">
      <c r="A69" s="182" t="s">
        <v>206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ht="24" hidden="1">
      <c r="A70" s="182" t="s">
        <v>217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</row>
    <row r="71" spans="1:16" ht="24" hidden="1">
      <c r="A71" s="182" t="s">
        <v>218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</row>
    <row r="72" spans="1:16" ht="24" hidden="1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</row>
    <row r="73" spans="1:16" ht="24" hidden="1">
      <c r="A73" s="181" t="s">
        <v>14</v>
      </c>
      <c r="B73" s="182" t="s">
        <v>207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</row>
    <row r="74" spans="1:16" ht="24" hidden="1">
      <c r="A74" s="182" t="s">
        <v>208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24" hidden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</row>
    <row r="76" spans="1:16" ht="24" hidden="1">
      <c r="A76" s="181" t="s">
        <v>14</v>
      </c>
      <c r="B76" s="182" t="s">
        <v>234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24" hidden="1">
      <c r="A77" s="182" t="s">
        <v>209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</row>
    <row r="78" spans="1:16" ht="24" hidden="1">
      <c r="A78" s="182" t="s">
        <v>210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</row>
    <row r="79" spans="1:16" ht="24" hidden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</row>
    <row r="80" spans="1:16" ht="24" hidden="1">
      <c r="A80" s="181" t="s">
        <v>14</v>
      </c>
      <c r="B80" s="182" t="s">
        <v>211</v>
      </c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</row>
    <row r="81" spans="1:16" ht="24" hidden="1">
      <c r="A81" s="182" t="s">
        <v>219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</row>
    <row r="82" spans="1:16" ht="24" hidden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</row>
    <row r="83" spans="1:16" ht="24" hidden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</row>
    <row r="84" spans="1:16" ht="24" hidden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</row>
    <row r="85" spans="1:16" ht="24" hidden="1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</row>
    <row r="86" spans="1:16" ht="24" hidden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</row>
    <row r="87" spans="1:16" ht="24" hidden="1">
      <c r="A87" s="181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</row>
    <row r="88" spans="1:16" ht="24" hidden="1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</row>
    <row r="89" spans="1:16" ht="24" hidden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</row>
    <row r="90" spans="1:16" ht="24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</row>
    <row r="91" spans="1:16" ht="24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ht="24">
      <c r="A92" s="181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</row>
    <row r="93" spans="1:16" ht="24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</row>
    <row r="94" spans="1:16" ht="24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</row>
    <row r="95" spans="1:16" ht="24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</row>
    <row r="96" spans="1:16" ht="24">
      <c r="A96" s="194"/>
      <c r="B96" s="193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</row>
    <row r="97" spans="1:16" ht="24">
      <c r="A97" s="193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</row>
    <row r="98" spans="1:16" ht="24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100" spans="1:2" ht="24">
      <c r="A100" s="133"/>
      <c r="B100" s="54"/>
    </row>
    <row r="101" spans="1:2" ht="24">
      <c r="A101" s="54"/>
      <c r="B101" s="54"/>
    </row>
  </sheetData>
  <sheetProtection/>
  <mergeCells count="14">
    <mergeCell ref="A15:N15"/>
    <mergeCell ref="A16:N16"/>
    <mergeCell ref="A9:N9"/>
    <mergeCell ref="A10:N10"/>
    <mergeCell ref="A11:N11"/>
    <mergeCell ref="A12:N12"/>
    <mergeCell ref="A13:N13"/>
    <mergeCell ref="A14:N14"/>
    <mergeCell ref="A3:N3"/>
    <mergeCell ref="A4:N4"/>
    <mergeCell ref="A5:N5"/>
    <mergeCell ref="A6:N6"/>
    <mergeCell ref="A7:N7"/>
    <mergeCell ref="A8:N8"/>
  </mergeCells>
  <printOptions horizontalCentered="1"/>
  <pageMargins left="0.696850394" right="0.196850393700787" top="0.696850394" bottom="0.15748031496063" header="0.236220472440945" footer="0.1574803149606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31" zoomScalePageLayoutView="0" workbookViewId="0" topLeftCell="A1">
      <pane xSplit="1" ySplit="4" topLeftCell="F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.75"/>
  <cols>
    <col min="1" max="1" width="42.7109375" style="56" customWidth="1"/>
    <col min="2" max="2" width="17.421875" style="57" customWidth="1"/>
    <col min="3" max="3" width="17.8515625" style="57" customWidth="1"/>
    <col min="4" max="4" width="18.140625" style="57" customWidth="1"/>
    <col min="5" max="5" width="18.57421875" style="57" customWidth="1"/>
    <col min="6" max="6" width="18.140625" style="57" customWidth="1"/>
    <col min="7" max="7" width="9.140625" style="56" customWidth="1"/>
    <col min="8" max="8" width="10.140625" style="56" customWidth="1"/>
    <col min="9" max="9" width="16.00390625" style="56" customWidth="1"/>
    <col min="10" max="10" width="19.00390625" style="54" customWidth="1"/>
    <col min="11" max="11" width="18.57421875" style="54" customWidth="1"/>
    <col min="12" max="12" width="15.7109375" style="54" customWidth="1"/>
    <col min="13" max="13" width="16.28125" style="54" customWidth="1"/>
    <col min="14" max="14" width="17.421875" style="54" customWidth="1"/>
    <col min="15" max="15" width="10.57421875" style="54" customWidth="1"/>
    <col min="16" max="16" width="9.8515625" style="54" bestFit="1" customWidth="1"/>
    <col min="17" max="17" width="15.421875" style="54" customWidth="1"/>
    <col min="18" max="19" width="10.8515625" style="575" bestFit="1" customWidth="1"/>
    <col min="20" max="20" width="10.7109375" style="575" bestFit="1" customWidth="1"/>
    <col min="21" max="16384" width="9.140625" style="28" customWidth="1"/>
  </cols>
  <sheetData>
    <row r="1" spans="1:20" ht="26.25" customHeight="1">
      <c r="A1" s="640" t="s">
        <v>390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0" s="43" customFormat="1" ht="27.75" customHeight="1">
      <c r="A2" s="13" t="s">
        <v>190</v>
      </c>
      <c r="B2" s="42"/>
      <c r="C2" s="42"/>
      <c r="D2" s="42"/>
      <c r="E2" s="42"/>
      <c r="F2" s="42"/>
      <c r="G2" s="13"/>
      <c r="H2" s="13"/>
      <c r="I2" s="13"/>
      <c r="J2" s="24"/>
      <c r="K2" s="24"/>
      <c r="L2" s="24"/>
      <c r="M2" s="24"/>
      <c r="N2" s="24"/>
      <c r="O2" s="24"/>
      <c r="P2" s="24"/>
      <c r="Q2" s="24"/>
      <c r="R2" s="590"/>
      <c r="S2" s="590"/>
      <c r="T2" s="590"/>
    </row>
    <row r="3" spans="1:20" s="43" customFormat="1" ht="24">
      <c r="A3" s="641" t="s">
        <v>13</v>
      </c>
      <c r="B3" s="638" t="s">
        <v>350</v>
      </c>
      <c r="C3" s="638"/>
      <c r="D3" s="638"/>
      <c r="E3" s="638"/>
      <c r="F3" s="638"/>
      <c r="G3" s="638"/>
      <c r="H3" s="638"/>
      <c r="I3" s="638"/>
      <c r="J3" s="638" t="s">
        <v>389</v>
      </c>
      <c r="K3" s="638"/>
      <c r="L3" s="638"/>
      <c r="M3" s="638"/>
      <c r="N3" s="638"/>
      <c r="O3" s="638"/>
      <c r="P3" s="638"/>
      <c r="Q3" s="638"/>
      <c r="R3" s="639" t="s">
        <v>46</v>
      </c>
      <c r="S3" s="639"/>
      <c r="T3" s="639"/>
    </row>
    <row r="4" spans="1:20" s="45" customFormat="1" ht="144">
      <c r="A4" s="642"/>
      <c r="B4" s="15" t="s">
        <v>0</v>
      </c>
      <c r="C4" s="15" t="s">
        <v>1</v>
      </c>
      <c r="D4" s="15" t="s">
        <v>2</v>
      </c>
      <c r="E4" s="15" t="s">
        <v>3</v>
      </c>
      <c r="F4" s="15" t="s">
        <v>11</v>
      </c>
      <c r="G4" s="16" t="s">
        <v>9</v>
      </c>
      <c r="H4" s="16" t="s">
        <v>10</v>
      </c>
      <c r="I4" s="17" t="s">
        <v>12</v>
      </c>
      <c r="J4" s="15" t="s">
        <v>0</v>
      </c>
      <c r="K4" s="15" t="s">
        <v>1</v>
      </c>
      <c r="L4" s="15" t="s">
        <v>2</v>
      </c>
      <c r="M4" s="15" t="s">
        <v>3</v>
      </c>
      <c r="N4" s="15" t="s">
        <v>11</v>
      </c>
      <c r="O4" s="16" t="s">
        <v>9</v>
      </c>
      <c r="P4" s="16" t="s">
        <v>10</v>
      </c>
      <c r="Q4" s="17" t="s">
        <v>12</v>
      </c>
      <c r="R4" s="582" t="s">
        <v>43</v>
      </c>
      <c r="S4" s="582" t="s">
        <v>44</v>
      </c>
      <c r="T4" s="583" t="s">
        <v>45</v>
      </c>
    </row>
    <row r="5" spans="1:20" s="43" customFormat="1" ht="96">
      <c r="A5" s="32" t="s">
        <v>92</v>
      </c>
      <c r="B5" s="243">
        <v>273588788.56499994</v>
      </c>
      <c r="C5" s="243">
        <v>1887953.6250000002</v>
      </c>
      <c r="D5" s="243">
        <v>53442688.879999995</v>
      </c>
      <c r="E5" s="243">
        <v>7627911.0600000005</v>
      </c>
      <c r="F5" s="243">
        <f>SUM(B5:E5)</f>
        <v>336547342.12999994</v>
      </c>
      <c r="G5" s="326">
        <v>71</v>
      </c>
      <c r="H5" s="228" t="s">
        <v>4</v>
      </c>
      <c r="I5" s="243">
        <f>+F5/G5</f>
        <v>4740103.410281689</v>
      </c>
      <c r="J5" s="243">
        <v>232334859.68</v>
      </c>
      <c r="K5" s="243">
        <v>1577914.8199999998</v>
      </c>
      <c r="L5" s="243">
        <v>57038187.86999998</v>
      </c>
      <c r="M5" s="243">
        <v>9135514.059999999</v>
      </c>
      <c r="N5" s="243">
        <f>SUM(J5:M5)</f>
        <v>300086476.43</v>
      </c>
      <c r="O5" s="326">
        <v>65</v>
      </c>
      <c r="P5" s="228" t="s">
        <v>4</v>
      </c>
      <c r="Q5" s="243">
        <f aca="true" t="shared" si="0" ref="Q5:Q10">+N5/O5</f>
        <v>4616715.022</v>
      </c>
      <c r="R5" s="591">
        <f>(N5-F5)*100/F5</f>
        <v>-10.833799925217058</v>
      </c>
      <c r="S5" s="591">
        <f>(O5-G5)*100/G5</f>
        <v>-8.450704225352112</v>
      </c>
      <c r="T5" s="591">
        <f>(Q5-I5)*100/I5</f>
        <v>-2.603073764467861</v>
      </c>
    </row>
    <row r="6" spans="1:20" s="43" customFormat="1" ht="48">
      <c r="A6" s="32" t="s">
        <v>93</v>
      </c>
      <c r="B6" s="243">
        <v>283231031.44</v>
      </c>
      <c r="C6" s="243">
        <v>4194424.359999999</v>
      </c>
      <c r="D6" s="243">
        <v>3948231.3</v>
      </c>
      <c r="E6" s="243">
        <v>4368846.54</v>
      </c>
      <c r="F6" s="243">
        <f aca="true" t="shared" si="1" ref="F6:F14">SUM(B6:E6)</f>
        <v>295742533.64000005</v>
      </c>
      <c r="G6" s="326">
        <v>118</v>
      </c>
      <c r="H6" s="228" t="s">
        <v>4</v>
      </c>
      <c r="I6" s="243">
        <f aca="true" t="shared" si="2" ref="I6:I13">+F6/G6</f>
        <v>2506292.657966102</v>
      </c>
      <c r="J6" s="243">
        <v>267638932.5</v>
      </c>
      <c r="K6" s="243">
        <v>3237329.21</v>
      </c>
      <c r="L6" s="243">
        <v>1385679.91</v>
      </c>
      <c r="M6" s="243">
        <v>4026118.55</v>
      </c>
      <c r="N6" s="243">
        <f aca="true" t="shared" si="3" ref="N6:N14">SUM(J6:M6)</f>
        <v>276288060.17</v>
      </c>
      <c r="O6" s="326">
        <v>121</v>
      </c>
      <c r="P6" s="228" t="s">
        <v>4</v>
      </c>
      <c r="Q6" s="243">
        <f t="shared" si="0"/>
        <v>2283372.398099174</v>
      </c>
      <c r="R6" s="591">
        <f aca="true" t="shared" si="4" ref="R6:R13">(N6-F6)*100/F6</f>
        <v>-6.578179077102744</v>
      </c>
      <c r="S6" s="591">
        <f aca="true" t="shared" si="5" ref="S6:S13">(O6-G6)*100/G6</f>
        <v>2.542372881355932</v>
      </c>
      <c r="T6" s="591">
        <f aca="true" t="shared" si="6" ref="T6:T13">(Q6-I6)*100/I6</f>
        <v>-8.894422571058868</v>
      </c>
    </row>
    <row r="7" spans="1:20" s="43" customFormat="1" ht="48">
      <c r="A7" s="32" t="s">
        <v>94</v>
      </c>
      <c r="B7" s="243">
        <v>13151303.86</v>
      </c>
      <c r="C7" s="243">
        <v>86349.76999999999</v>
      </c>
      <c r="D7" s="243">
        <v>865706.95</v>
      </c>
      <c r="E7" s="243">
        <v>107919.18</v>
      </c>
      <c r="F7" s="243">
        <f>SUM(B7:E7)</f>
        <v>14211279.759999998</v>
      </c>
      <c r="G7" s="326">
        <v>37</v>
      </c>
      <c r="H7" s="228" t="s">
        <v>4</v>
      </c>
      <c r="I7" s="243">
        <f t="shared" si="2"/>
        <v>384088.6421621621</v>
      </c>
      <c r="J7" s="243">
        <v>11512630.08</v>
      </c>
      <c r="K7" s="243">
        <v>61984.97</v>
      </c>
      <c r="L7" s="243">
        <v>724862.14</v>
      </c>
      <c r="M7" s="243">
        <v>88286.84</v>
      </c>
      <c r="N7" s="243">
        <f t="shared" si="3"/>
        <v>12387764.030000001</v>
      </c>
      <c r="O7" s="326">
        <v>35</v>
      </c>
      <c r="P7" s="228" t="s">
        <v>4</v>
      </c>
      <c r="Q7" s="243">
        <f t="shared" si="0"/>
        <v>353936.1151428572</v>
      </c>
      <c r="R7" s="591">
        <f t="shared" si="4"/>
        <v>-12.831467403326926</v>
      </c>
      <c r="S7" s="591">
        <f t="shared" si="5"/>
        <v>-5.405405405405405</v>
      </c>
      <c r="T7" s="591">
        <f t="shared" si="6"/>
        <v>-7.850408397802748</v>
      </c>
    </row>
    <row r="8" spans="1:20" s="43" customFormat="1" ht="24">
      <c r="A8" s="32" t="s">
        <v>95</v>
      </c>
      <c r="B8" s="243">
        <v>39204932.827372</v>
      </c>
      <c r="C8" s="243">
        <v>85677.450688</v>
      </c>
      <c r="D8" s="243">
        <v>1928096.320388</v>
      </c>
      <c r="E8" s="243">
        <v>2092311.534604001</v>
      </c>
      <c r="F8" s="243">
        <f t="shared" si="1"/>
        <v>43311018.13305199</v>
      </c>
      <c r="G8" s="326">
        <v>2185</v>
      </c>
      <c r="H8" s="228" t="s">
        <v>6</v>
      </c>
      <c r="I8" s="243">
        <f t="shared" si="2"/>
        <v>19821.97626226636</v>
      </c>
      <c r="J8" s="243">
        <v>24447111.38</v>
      </c>
      <c r="K8" s="243">
        <v>38742.61</v>
      </c>
      <c r="L8" s="243">
        <v>1367879.99</v>
      </c>
      <c r="M8" s="243">
        <v>2305000.01</v>
      </c>
      <c r="N8" s="243">
        <f t="shared" si="3"/>
        <v>28158733.989999995</v>
      </c>
      <c r="O8" s="326">
        <v>2365</v>
      </c>
      <c r="P8" s="228" t="s">
        <v>6</v>
      </c>
      <c r="Q8" s="243">
        <f t="shared" si="0"/>
        <v>11906.441433403803</v>
      </c>
      <c r="R8" s="591">
        <f t="shared" si="4"/>
        <v>-34.9848255621791</v>
      </c>
      <c r="S8" s="591">
        <f t="shared" si="5"/>
        <v>8.237986270022883</v>
      </c>
      <c r="T8" s="591">
        <f t="shared" si="6"/>
        <v>-39.93312636505765</v>
      </c>
    </row>
    <row r="9" spans="1:20" s="43" customFormat="1" ht="24">
      <c r="A9" s="32" t="s">
        <v>96</v>
      </c>
      <c r="B9" s="243">
        <v>30594275.860228878</v>
      </c>
      <c r="C9" s="243">
        <v>69075.02</v>
      </c>
      <c r="D9" s="243">
        <v>493582.4800000001</v>
      </c>
      <c r="E9" s="243">
        <v>258329.45</v>
      </c>
      <c r="F9" s="243">
        <f t="shared" si="1"/>
        <v>31415262.810228877</v>
      </c>
      <c r="G9" s="326">
        <v>94</v>
      </c>
      <c r="H9" s="228" t="s">
        <v>4</v>
      </c>
      <c r="I9" s="243">
        <f t="shared" si="2"/>
        <v>334204.9235130732</v>
      </c>
      <c r="J9" s="244">
        <v>21916883.95</v>
      </c>
      <c r="K9" s="244">
        <v>61984.97</v>
      </c>
      <c r="L9" s="244">
        <v>632948.28</v>
      </c>
      <c r="M9" s="244">
        <v>260280.97</v>
      </c>
      <c r="N9" s="243">
        <f t="shared" si="3"/>
        <v>22872098.169999998</v>
      </c>
      <c r="O9" s="326">
        <v>68</v>
      </c>
      <c r="P9" s="228" t="s">
        <v>4</v>
      </c>
      <c r="Q9" s="243">
        <f t="shared" si="0"/>
        <v>336354.38485294115</v>
      </c>
      <c r="R9" s="591">
        <f t="shared" si="4"/>
        <v>-27.194312178242246</v>
      </c>
      <c r="S9" s="591">
        <f t="shared" si="5"/>
        <v>-27.659574468085108</v>
      </c>
      <c r="T9" s="591">
        <f t="shared" si="6"/>
        <v>0.6431566947827696</v>
      </c>
    </row>
    <row r="10" spans="1:20" s="43" customFormat="1" ht="24">
      <c r="A10" s="165" t="s">
        <v>138</v>
      </c>
      <c r="B10" s="244">
        <v>31941836.430000003</v>
      </c>
      <c r="C10" s="244">
        <v>123060.56000000001</v>
      </c>
      <c r="D10" s="244">
        <v>941721.19</v>
      </c>
      <c r="E10" s="244">
        <v>14968348.610000001</v>
      </c>
      <c r="F10" s="243">
        <f t="shared" si="1"/>
        <v>47974966.79000001</v>
      </c>
      <c r="G10" s="327">
        <v>1</v>
      </c>
      <c r="H10" s="290" t="s">
        <v>87</v>
      </c>
      <c r="I10" s="243">
        <f t="shared" si="2"/>
        <v>47974966.79000001</v>
      </c>
      <c r="J10" s="244">
        <v>28479217.91</v>
      </c>
      <c r="K10" s="244">
        <v>98150.87</v>
      </c>
      <c r="L10" s="244">
        <v>921729.1000000001</v>
      </c>
      <c r="M10" s="244">
        <v>13105966.940000001</v>
      </c>
      <c r="N10" s="243">
        <f t="shared" si="3"/>
        <v>42605064.82000001</v>
      </c>
      <c r="O10" s="19">
        <v>1</v>
      </c>
      <c r="P10" s="290" t="s">
        <v>87</v>
      </c>
      <c r="Q10" s="243">
        <f t="shared" si="0"/>
        <v>42605064.82000001</v>
      </c>
      <c r="R10" s="591">
        <f t="shared" si="4"/>
        <v>-11.19313327199491</v>
      </c>
      <c r="S10" s="591">
        <f t="shared" si="5"/>
        <v>0</v>
      </c>
      <c r="T10" s="591">
        <f t="shared" si="6"/>
        <v>-11.19313327199491</v>
      </c>
    </row>
    <row r="11" spans="1:20" s="43" customFormat="1" ht="48">
      <c r="A11" s="165" t="s">
        <v>288</v>
      </c>
      <c r="B11" s="244">
        <v>13385736.69</v>
      </c>
      <c r="C11" s="244">
        <v>28783.26</v>
      </c>
      <c r="D11" s="244">
        <v>459233.51</v>
      </c>
      <c r="E11" s="244">
        <v>42429.33</v>
      </c>
      <c r="F11" s="243">
        <f t="shared" si="1"/>
        <v>13916182.79</v>
      </c>
      <c r="G11" s="327">
        <v>16</v>
      </c>
      <c r="H11" s="290" t="s">
        <v>4</v>
      </c>
      <c r="I11" s="243">
        <f t="shared" si="2"/>
        <v>869761.424375</v>
      </c>
      <c r="J11" s="188">
        <v>0</v>
      </c>
      <c r="K11" s="188">
        <v>0</v>
      </c>
      <c r="L11" s="188">
        <v>0</v>
      </c>
      <c r="M11" s="188">
        <v>0</v>
      </c>
      <c r="N11" s="187">
        <v>0</v>
      </c>
      <c r="O11" s="288">
        <v>0</v>
      </c>
      <c r="P11" s="290" t="s">
        <v>4</v>
      </c>
      <c r="Q11" s="187">
        <v>0</v>
      </c>
      <c r="R11" s="591">
        <f t="shared" si="4"/>
        <v>-100</v>
      </c>
      <c r="S11" s="591">
        <f t="shared" si="5"/>
        <v>-100</v>
      </c>
      <c r="T11" s="591">
        <v>-100</v>
      </c>
    </row>
    <row r="12" spans="1:20" s="43" customFormat="1" ht="24">
      <c r="A12" s="165" t="s">
        <v>384</v>
      </c>
      <c r="B12" s="188">
        <v>0</v>
      </c>
      <c r="C12" s="188">
        <v>0</v>
      </c>
      <c r="D12" s="188">
        <v>0</v>
      </c>
      <c r="E12" s="188">
        <v>0</v>
      </c>
      <c r="F12" s="187">
        <f t="shared" si="1"/>
        <v>0</v>
      </c>
      <c r="G12" s="288">
        <v>0</v>
      </c>
      <c r="H12" s="290" t="s">
        <v>4</v>
      </c>
      <c r="I12" s="187">
        <v>0</v>
      </c>
      <c r="J12" s="188">
        <v>23175425.990000002</v>
      </c>
      <c r="K12" s="188">
        <v>56820.56</v>
      </c>
      <c r="L12" s="188">
        <v>352799.03</v>
      </c>
      <c r="M12" s="188">
        <v>81988.15000000001</v>
      </c>
      <c r="N12" s="187">
        <f t="shared" si="3"/>
        <v>23667033.73</v>
      </c>
      <c r="O12" s="19">
        <v>15</v>
      </c>
      <c r="P12" s="290" t="s">
        <v>4</v>
      </c>
      <c r="Q12" s="243">
        <f>+N12/O12</f>
        <v>1577802.2486666667</v>
      </c>
      <c r="R12" s="591">
        <v>100</v>
      </c>
      <c r="S12" s="591">
        <v>100</v>
      </c>
      <c r="T12" s="591">
        <v>100</v>
      </c>
    </row>
    <row r="13" spans="1:20" s="43" customFormat="1" ht="72">
      <c r="A13" s="165" t="s">
        <v>352</v>
      </c>
      <c r="B13" s="188">
        <v>44480113.895</v>
      </c>
      <c r="C13" s="188">
        <v>224328.015</v>
      </c>
      <c r="D13" s="188">
        <v>9153438.530000001</v>
      </c>
      <c r="E13" s="188">
        <v>104288.47</v>
      </c>
      <c r="F13" s="187">
        <f t="shared" si="1"/>
        <v>53962168.910000004</v>
      </c>
      <c r="G13" s="288">
        <v>1</v>
      </c>
      <c r="H13" s="290" t="s">
        <v>90</v>
      </c>
      <c r="I13" s="243">
        <f t="shared" si="2"/>
        <v>53962168.910000004</v>
      </c>
      <c r="J13" s="188">
        <v>0</v>
      </c>
      <c r="K13" s="188">
        <v>0</v>
      </c>
      <c r="L13" s="188">
        <v>0</v>
      </c>
      <c r="M13" s="188">
        <v>0</v>
      </c>
      <c r="N13" s="187">
        <f t="shared" si="3"/>
        <v>0</v>
      </c>
      <c r="O13" s="20">
        <v>0</v>
      </c>
      <c r="P13" s="290" t="s">
        <v>90</v>
      </c>
      <c r="Q13" s="187">
        <v>0</v>
      </c>
      <c r="R13" s="591">
        <f t="shared" si="4"/>
        <v>-99.99999999999999</v>
      </c>
      <c r="S13" s="591">
        <f t="shared" si="5"/>
        <v>-100</v>
      </c>
      <c r="T13" s="591">
        <f t="shared" si="6"/>
        <v>-99.99999999999999</v>
      </c>
    </row>
    <row r="14" spans="1:20" s="43" customFormat="1" ht="48">
      <c r="A14" s="165" t="s">
        <v>385</v>
      </c>
      <c r="B14" s="188">
        <v>0</v>
      </c>
      <c r="C14" s="188">
        <v>0</v>
      </c>
      <c r="D14" s="188">
        <v>0</v>
      </c>
      <c r="E14" s="188">
        <v>0</v>
      </c>
      <c r="F14" s="188">
        <f t="shared" si="1"/>
        <v>0</v>
      </c>
      <c r="G14" s="288">
        <v>0</v>
      </c>
      <c r="H14" s="290" t="s">
        <v>4</v>
      </c>
      <c r="I14" s="188">
        <v>0</v>
      </c>
      <c r="J14" s="244">
        <v>41407416.83</v>
      </c>
      <c r="K14" s="244">
        <v>93840.19</v>
      </c>
      <c r="L14" s="244">
        <v>43961782.61</v>
      </c>
      <c r="M14" s="244">
        <v>182966.73</v>
      </c>
      <c r="N14" s="243">
        <f t="shared" si="3"/>
        <v>85646006.36</v>
      </c>
      <c r="O14" s="327">
        <v>13</v>
      </c>
      <c r="P14" s="290" t="s">
        <v>4</v>
      </c>
      <c r="Q14" s="244">
        <f>+N14/O14</f>
        <v>6588154.335384616</v>
      </c>
      <c r="R14" s="591">
        <v>100</v>
      </c>
      <c r="S14" s="591">
        <v>100</v>
      </c>
      <c r="T14" s="591">
        <v>100</v>
      </c>
    </row>
    <row r="15" spans="1:20" s="43" customFormat="1" ht="24.75" customHeight="1" thickBot="1">
      <c r="A15" s="125" t="s">
        <v>64</v>
      </c>
      <c r="B15" s="86">
        <f>SUM(B5:B14)</f>
        <v>729578019.5676007</v>
      </c>
      <c r="C15" s="86">
        <f>SUM(C5:C14)</f>
        <v>6699652.060687997</v>
      </c>
      <c r="D15" s="86">
        <f>SUM(D5:D14)</f>
        <v>71232699.160388</v>
      </c>
      <c r="E15" s="86">
        <f>SUM(E5:E14)</f>
        <v>29570384.174604</v>
      </c>
      <c r="F15" s="86">
        <f>SUM(F5:F14)</f>
        <v>837080754.9632807</v>
      </c>
      <c r="G15" s="37"/>
      <c r="H15" s="37"/>
      <c r="I15" s="245"/>
      <c r="J15" s="292">
        <f>SUM(J5:J14)</f>
        <v>650912478.32</v>
      </c>
      <c r="K15" s="292">
        <f>SUM(K5:K14)</f>
        <v>5226768.199999999</v>
      </c>
      <c r="L15" s="292">
        <f>SUM(L5:L14)</f>
        <v>106385868.92999998</v>
      </c>
      <c r="M15" s="292">
        <f>SUM(M5:M14)</f>
        <v>29186122.25</v>
      </c>
      <c r="N15" s="292">
        <f>SUM(N5:N14)</f>
        <v>791711237.7</v>
      </c>
      <c r="O15" s="245"/>
      <c r="P15" s="245"/>
      <c r="Q15" s="245"/>
      <c r="R15" s="585"/>
      <c r="S15" s="585"/>
      <c r="T15" s="585"/>
    </row>
    <row r="16" spans="1:20" s="43" customFormat="1" ht="24.75" thickTop="1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40"/>
      <c r="L16" s="39"/>
      <c r="M16" s="39"/>
      <c r="N16" s="39"/>
      <c r="O16" s="39"/>
      <c r="P16" s="39"/>
      <c r="Q16" s="24"/>
      <c r="R16" s="590"/>
      <c r="S16" s="590"/>
      <c r="T16" s="590"/>
    </row>
    <row r="17" spans="2:6" ht="24">
      <c r="B17" s="56"/>
      <c r="C17" s="56"/>
      <c r="D17" s="56"/>
      <c r="E17" s="56"/>
      <c r="F17" s="56"/>
    </row>
  </sheetData>
  <sheetProtection/>
  <mergeCells count="5">
    <mergeCell ref="J3:Q3"/>
    <mergeCell ref="R3:T3"/>
    <mergeCell ref="A1:T1"/>
    <mergeCell ref="B3:I3"/>
    <mergeCell ref="A3:A4"/>
  </mergeCells>
  <printOptions horizontalCentered="1"/>
  <pageMargins left="0.196850393700787" right="0.196850393700787" top="0.840551181" bottom="0" header="0.511811023622047" footer="0.511811023622047"/>
  <pageSetup orientation="landscape" paperSize="5" scale="5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140625" style="28" customWidth="1"/>
    <col min="2" max="2" width="6.7109375" style="28" customWidth="1"/>
    <col min="3" max="16" width="9.140625" style="28" customWidth="1"/>
    <col min="17" max="17" width="11.421875" style="28" customWidth="1"/>
    <col min="18" max="16384" width="9.140625" style="28" customWidth="1"/>
  </cols>
  <sheetData>
    <row r="1" spans="1:2" ht="24">
      <c r="A1" s="84" t="s">
        <v>49</v>
      </c>
      <c r="B1" s="28" t="s">
        <v>52</v>
      </c>
    </row>
    <row r="2" ht="24">
      <c r="A2" s="84"/>
    </row>
    <row r="3" spans="1:16" s="566" customFormat="1" ht="95.25" customHeight="1">
      <c r="A3" s="643" t="s">
        <v>424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</row>
    <row r="4" spans="1:16" s="142" customFormat="1" ht="91.5" customHeight="1">
      <c r="A4" s="644" t="s">
        <v>425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</row>
    <row r="5" spans="1:16" s="142" customFormat="1" ht="95.25" customHeight="1">
      <c r="A5" s="644" t="s">
        <v>429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</row>
    <row r="6" spans="1:16" s="142" customFormat="1" ht="90.75" customHeight="1">
      <c r="A6" s="644" t="s">
        <v>426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</row>
    <row r="7" spans="1:16" s="142" customFormat="1" ht="68.25" customHeight="1">
      <c r="A7" s="644" t="s">
        <v>431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</row>
    <row r="8" spans="1:16" s="142" customFormat="1" ht="63.75" customHeight="1">
      <c r="A8" s="644" t="s">
        <v>399</v>
      </c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</row>
    <row r="24" ht="24" hidden="1"/>
    <row r="25" spans="1:3" ht="24" hidden="1">
      <c r="A25" s="84" t="s">
        <v>13</v>
      </c>
      <c r="C25" s="28" t="s">
        <v>212</v>
      </c>
    </row>
    <row r="26" ht="24" customHeight="1" hidden="1">
      <c r="A26" s="28" t="s">
        <v>213</v>
      </c>
    </row>
    <row r="27" ht="24" customHeight="1" hidden="1">
      <c r="A27" s="182" t="s">
        <v>202</v>
      </c>
    </row>
    <row r="28" ht="24" customHeight="1" hidden="1"/>
    <row r="29" spans="1:3" ht="24" hidden="1">
      <c r="A29" s="84" t="s">
        <v>13</v>
      </c>
      <c r="C29" s="28" t="s">
        <v>220</v>
      </c>
    </row>
    <row r="30" spans="1:15" ht="24" hidden="1">
      <c r="A30" s="54" t="s">
        <v>224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24" hidden="1">
      <c r="A31" s="54" t="s">
        <v>221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24" hidden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ht="24" hidden="1"/>
  </sheetData>
  <sheetProtection/>
  <mergeCells count="6">
    <mergeCell ref="A3:P3"/>
    <mergeCell ref="A4:P4"/>
    <mergeCell ref="A5:P5"/>
    <mergeCell ref="A7:P7"/>
    <mergeCell ref="A8:P8"/>
    <mergeCell ref="A6:P6"/>
  </mergeCells>
  <printOptions horizontalCentered="1"/>
  <pageMargins left="0.65" right="0.19" top="0.69" bottom="0.15" header="0.511811023622047" footer="0.76181102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8"/>
  <sheetViews>
    <sheetView zoomScale="80" zoomScaleNormal="80" zoomScaleSheetLayoutView="131" zoomScalePageLayoutView="0" workbookViewId="0" topLeftCell="A1">
      <selection activeCell="B15" sqref="B15"/>
    </sheetView>
  </sheetViews>
  <sheetFormatPr defaultColWidth="9.140625" defaultRowHeight="12.75"/>
  <cols>
    <col min="1" max="1" width="41.7109375" style="41" customWidth="1"/>
    <col min="2" max="2" width="17.7109375" style="41" bestFit="1" customWidth="1"/>
    <col min="3" max="3" width="18.7109375" style="41" bestFit="1" customWidth="1"/>
    <col min="4" max="5" width="16.421875" style="41" bestFit="1" customWidth="1"/>
    <col min="6" max="6" width="17.7109375" style="41" bestFit="1" customWidth="1"/>
    <col min="7" max="7" width="10.7109375" style="88" customWidth="1"/>
    <col min="8" max="8" width="9.7109375" style="88" customWidth="1"/>
    <col min="9" max="9" width="16.8515625" style="41" customWidth="1"/>
    <col min="10" max="10" width="17.140625" style="24" customWidth="1"/>
    <col min="11" max="11" width="18.7109375" style="24" bestFit="1" customWidth="1"/>
    <col min="12" max="12" width="17.7109375" style="24" bestFit="1" customWidth="1"/>
    <col min="13" max="13" width="16.421875" style="24" bestFit="1" customWidth="1"/>
    <col min="14" max="14" width="17.7109375" style="24" bestFit="1" customWidth="1"/>
    <col min="15" max="15" width="10.421875" style="21" customWidth="1"/>
    <col min="16" max="16" width="9.8515625" style="21" bestFit="1" customWidth="1"/>
    <col min="17" max="17" width="14.8515625" style="24" bestFit="1" customWidth="1"/>
    <col min="18" max="18" width="11.421875" style="581" customWidth="1"/>
    <col min="19" max="19" width="11.00390625" style="581" customWidth="1"/>
    <col min="20" max="20" width="11.57421875" style="581" bestFit="1" customWidth="1"/>
    <col min="21" max="16384" width="9.140625" style="24" customWidth="1"/>
  </cols>
  <sheetData>
    <row r="1" spans="1:20" ht="27.75">
      <c r="A1" s="645" t="s">
        <v>388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</row>
    <row r="2" spans="1:9" ht="24">
      <c r="A2" s="13" t="s">
        <v>189</v>
      </c>
      <c r="B2" s="13"/>
      <c r="C2" s="13"/>
      <c r="D2" s="13"/>
      <c r="E2" s="13"/>
      <c r="F2" s="13"/>
      <c r="G2" s="85"/>
      <c r="H2" s="85"/>
      <c r="I2" s="13"/>
    </row>
    <row r="3" spans="1:20" ht="24">
      <c r="A3" s="98"/>
      <c r="B3" s="610" t="s">
        <v>350</v>
      </c>
      <c r="C3" s="611"/>
      <c r="D3" s="611"/>
      <c r="E3" s="611"/>
      <c r="F3" s="611"/>
      <c r="G3" s="611"/>
      <c r="H3" s="611"/>
      <c r="I3" s="612"/>
      <c r="J3" s="610" t="s">
        <v>389</v>
      </c>
      <c r="K3" s="611"/>
      <c r="L3" s="611"/>
      <c r="M3" s="611"/>
      <c r="N3" s="611"/>
      <c r="O3" s="611"/>
      <c r="P3" s="611"/>
      <c r="Q3" s="612"/>
      <c r="R3" s="639" t="s">
        <v>46</v>
      </c>
      <c r="S3" s="639"/>
      <c r="T3" s="639"/>
    </row>
    <row r="4" spans="1:20" s="18" customFormat="1" ht="72">
      <c r="A4" s="31" t="s">
        <v>19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11</v>
      </c>
      <c r="G4" s="16" t="s">
        <v>9</v>
      </c>
      <c r="H4" s="16" t="s">
        <v>10</v>
      </c>
      <c r="I4" s="17" t="s">
        <v>12</v>
      </c>
      <c r="J4" s="15" t="s">
        <v>0</v>
      </c>
      <c r="K4" s="15" t="s">
        <v>1</v>
      </c>
      <c r="L4" s="15" t="s">
        <v>2</v>
      </c>
      <c r="M4" s="15" t="s">
        <v>3</v>
      </c>
      <c r="N4" s="15" t="s">
        <v>11</v>
      </c>
      <c r="O4" s="16" t="s">
        <v>9</v>
      </c>
      <c r="P4" s="16" t="s">
        <v>10</v>
      </c>
      <c r="Q4" s="17" t="s">
        <v>12</v>
      </c>
      <c r="R4" s="582" t="s">
        <v>43</v>
      </c>
      <c r="S4" s="582" t="s">
        <v>44</v>
      </c>
      <c r="T4" s="583" t="s">
        <v>45</v>
      </c>
    </row>
    <row r="5" spans="1:20" s="18" customFormat="1" ht="24">
      <c r="A5" s="32" t="s">
        <v>353</v>
      </c>
      <c r="B5" s="188">
        <v>275327355.59000003</v>
      </c>
      <c r="C5" s="188">
        <v>0</v>
      </c>
      <c r="D5" s="188">
        <v>5465083.69</v>
      </c>
      <c r="E5" s="188">
        <v>0</v>
      </c>
      <c r="F5" s="187">
        <f>SUM(B5:E5)</f>
        <v>280792439.28000003</v>
      </c>
      <c r="G5" s="559">
        <v>453</v>
      </c>
      <c r="H5" s="545" t="s">
        <v>6</v>
      </c>
      <c r="I5" s="33">
        <f>+F5/G5</f>
        <v>619850.8593377484</v>
      </c>
      <c r="J5" s="289">
        <v>269118550.1</v>
      </c>
      <c r="K5" s="187">
        <v>0</v>
      </c>
      <c r="L5" s="187">
        <v>5471223.6899999995</v>
      </c>
      <c r="M5" s="187">
        <v>0</v>
      </c>
      <c r="N5" s="289">
        <f>SUM(J5:M5)</f>
        <v>274589773.79</v>
      </c>
      <c r="O5" s="545">
        <v>450</v>
      </c>
      <c r="P5" s="545" t="s">
        <v>6</v>
      </c>
      <c r="Q5" s="33">
        <f>+N5/O5</f>
        <v>610199.4973111112</v>
      </c>
      <c r="R5" s="584">
        <f>(N5-F5)*100/F5</f>
        <v>-2.208985934915024</v>
      </c>
      <c r="S5" s="584">
        <f>(O5-G5)*100/G5</f>
        <v>-0.6622516556291391</v>
      </c>
      <c r="T5" s="584">
        <f aca="true" t="shared" si="0" ref="T5:T11">(Q5-I5)*100/I5</f>
        <v>-1.55704584114778</v>
      </c>
    </row>
    <row r="6" spans="1:20" s="18" customFormat="1" ht="24">
      <c r="A6" s="32" t="s">
        <v>354</v>
      </c>
      <c r="B6" s="188">
        <v>118007545.27999997</v>
      </c>
      <c r="C6" s="188">
        <v>1724414.3000000003</v>
      </c>
      <c r="D6" s="188">
        <v>35913766.46</v>
      </c>
      <c r="E6" s="188">
        <v>5427421.5</v>
      </c>
      <c r="F6" s="187">
        <f aca="true" t="shared" si="1" ref="F6:F15">SUM(B6:E6)</f>
        <v>161073147.53999996</v>
      </c>
      <c r="G6" s="559">
        <v>840</v>
      </c>
      <c r="H6" s="545" t="s">
        <v>5</v>
      </c>
      <c r="I6" s="33">
        <f>+F6/G6</f>
        <v>191753.74707142852</v>
      </c>
      <c r="J6" s="289">
        <v>98934784.05</v>
      </c>
      <c r="K6" s="289">
        <v>1509900.19</v>
      </c>
      <c r="L6" s="289">
        <v>51844928.95</v>
      </c>
      <c r="M6" s="289">
        <v>6780287.22</v>
      </c>
      <c r="N6" s="289">
        <f>SUM(J6:M6)</f>
        <v>159069900.41</v>
      </c>
      <c r="O6" s="19">
        <f>404+59</f>
        <v>463</v>
      </c>
      <c r="P6" s="545" t="s">
        <v>5</v>
      </c>
      <c r="Q6" s="33">
        <f>+N6/O6</f>
        <v>343563.4998056155</v>
      </c>
      <c r="R6" s="584">
        <f>(N6-F6)*100/F6</f>
        <v>-1.2436878279183627</v>
      </c>
      <c r="S6" s="584">
        <f>(O6-G6)*100/G6</f>
        <v>-44.88095238095238</v>
      </c>
      <c r="T6" s="584">
        <f t="shared" si="0"/>
        <v>79.16911927548288</v>
      </c>
    </row>
    <row r="7" spans="1:20" ht="24">
      <c r="A7" s="32" t="s">
        <v>446</v>
      </c>
      <c r="B7" s="243">
        <v>163492153.14000002</v>
      </c>
      <c r="C7" s="243">
        <v>4194424.359999999</v>
      </c>
      <c r="D7" s="243">
        <v>3416329.23</v>
      </c>
      <c r="E7" s="243">
        <v>4368846.54</v>
      </c>
      <c r="F7" s="187">
        <f t="shared" si="1"/>
        <v>175471753.26999998</v>
      </c>
      <c r="G7" s="19">
        <v>118</v>
      </c>
      <c r="H7" s="34" t="s">
        <v>4</v>
      </c>
      <c r="I7" s="33">
        <f aca="true" t="shared" si="2" ref="I7:I15">+F7/G7</f>
        <v>1487048.7565254236</v>
      </c>
      <c r="J7" s="243">
        <v>155309807.76</v>
      </c>
      <c r="K7" s="243">
        <v>3237329.2</v>
      </c>
      <c r="L7" s="243">
        <v>923665.91</v>
      </c>
      <c r="M7" s="243">
        <v>4026118.55</v>
      </c>
      <c r="N7" s="187">
        <f>SUM(J7:M7)</f>
        <v>163496921.42</v>
      </c>
      <c r="O7" s="19">
        <v>121</v>
      </c>
      <c r="P7" s="34" t="s">
        <v>4</v>
      </c>
      <c r="Q7" s="33">
        <f aca="true" t="shared" si="3" ref="Q7:Q16">+N7/O7</f>
        <v>1351214.2266115702</v>
      </c>
      <c r="R7" s="584">
        <f aca="true" t="shared" si="4" ref="R7:R12">(N7-F7)*100/F7</f>
        <v>-6.824364393039495</v>
      </c>
      <c r="S7" s="584">
        <f aca="true" t="shared" si="5" ref="S7:S12">(O7-G7)*100/G7</f>
        <v>2.542372881355932</v>
      </c>
      <c r="T7" s="584">
        <f t="shared" si="0"/>
        <v>-9.1345041188319</v>
      </c>
    </row>
    <row r="8" spans="1:20" ht="48">
      <c r="A8" s="32" t="s">
        <v>447</v>
      </c>
      <c r="B8" s="243">
        <v>7398333.539999999</v>
      </c>
      <c r="C8" s="243">
        <v>86349.76999999999</v>
      </c>
      <c r="D8" s="243">
        <v>623122.1499999999</v>
      </c>
      <c r="E8" s="243">
        <v>107919.18</v>
      </c>
      <c r="F8" s="187">
        <f t="shared" si="1"/>
        <v>8215724.639999999</v>
      </c>
      <c r="G8" s="19">
        <v>37</v>
      </c>
      <c r="H8" s="34" t="s">
        <v>4</v>
      </c>
      <c r="I8" s="33">
        <f t="shared" si="2"/>
        <v>222046.61189189187</v>
      </c>
      <c r="J8" s="243">
        <v>6651493.41</v>
      </c>
      <c r="K8" s="243">
        <v>61984.97</v>
      </c>
      <c r="L8" s="243">
        <v>527388.14</v>
      </c>
      <c r="M8" s="243">
        <v>88286.84</v>
      </c>
      <c r="N8" s="187">
        <f aca="true" t="shared" si="6" ref="N8:N16">SUM(J8:M8)</f>
        <v>7329153.359999999</v>
      </c>
      <c r="O8" s="19">
        <v>35</v>
      </c>
      <c r="P8" s="34" t="s">
        <v>4</v>
      </c>
      <c r="Q8" s="33">
        <f t="shared" si="3"/>
        <v>209404.3817142857</v>
      </c>
      <c r="R8" s="584">
        <f t="shared" si="4"/>
        <v>-10.791151345111288</v>
      </c>
      <c r="S8" s="584">
        <f t="shared" si="5"/>
        <v>-5.405405405405405</v>
      </c>
      <c r="T8" s="584">
        <f t="shared" si="0"/>
        <v>-5.69350285054622</v>
      </c>
    </row>
    <row r="9" spans="1:20" ht="24">
      <c r="A9" s="32" t="s">
        <v>448</v>
      </c>
      <c r="B9" s="243">
        <v>22086287.941150006</v>
      </c>
      <c r="C9" s="243">
        <v>85677.450688</v>
      </c>
      <c r="D9" s="243">
        <v>1508534.329188</v>
      </c>
      <c r="E9" s="243">
        <v>2092311.534604001</v>
      </c>
      <c r="F9" s="187">
        <f t="shared" si="1"/>
        <v>25772811.25563001</v>
      </c>
      <c r="G9" s="19">
        <v>2185</v>
      </c>
      <c r="H9" s="34" t="s">
        <v>6</v>
      </c>
      <c r="I9" s="33">
        <f t="shared" si="2"/>
        <v>11795.336959098402</v>
      </c>
      <c r="J9" s="243">
        <v>9229160.14</v>
      </c>
      <c r="K9" s="243">
        <v>38742.61</v>
      </c>
      <c r="L9" s="243">
        <v>1048788.62</v>
      </c>
      <c r="M9" s="243">
        <v>2305000.01</v>
      </c>
      <c r="N9" s="187">
        <f t="shared" si="6"/>
        <v>12621691.38</v>
      </c>
      <c r="O9" s="19">
        <v>2365</v>
      </c>
      <c r="P9" s="34" t="s">
        <v>6</v>
      </c>
      <c r="Q9" s="33">
        <f t="shared" si="3"/>
        <v>5336.867391120508</v>
      </c>
      <c r="R9" s="584">
        <f t="shared" si="4"/>
        <v>-51.02710660932334</v>
      </c>
      <c r="S9" s="584">
        <f t="shared" si="5"/>
        <v>8.237986270022883</v>
      </c>
      <c r="T9" s="584">
        <f t="shared" si="0"/>
        <v>-54.75443041918456</v>
      </c>
    </row>
    <row r="10" spans="1:20" ht="24">
      <c r="A10" s="32" t="s">
        <v>355</v>
      </c>
      <c r="B10" s="243">
        <v>26265816.939999998</v>
      </c>
      <c r="C10" s="243">
        <v>69075.02</v>
      </c>
      <c r="D10" s="243">
        <v>350587.4800000001</v>
      </c>
      <c r="E10" s="243">
        <v>258329.45</v>
      </c>
      <c r="F10" s="187">
        <f t="shared" si="1"/>
        <v>26943808.889999997</v>
      </c>
      <c r="G10" s="19">
        <v>94</v>
      </c>
      <c r="H10" s="34" t="s">
        <v>4</v>
      </c>
      <c r="I10" s="33">
        <f t="shared" si="2"/>
        <v>286636.264787234</v>
      </c>
      <c r="J10" s="243">
        <v>16692082.02</v>
      </c>
      <c r="K10" s="243">
        <v>61984.97</v>
      </c>
      <c r="L10" s="243">
        <v>430801.77</v>
      </c>
      <c r="M10" s="243">
        <v>260280.97</v>
      </c>
      <c r="N10" s="187">
        <f t="shared" si="6"/>
        <v>17445149.73</v>
      </c>
      <c r="O10" s="19">
        <v>68</v>
      </c>
      <c r="P10" s="34" t="s">
        <v>4</v>
      </c>
      <c r="Q10" s="33">
        <f t="shared" si="3"/>
        <v>256546.31955882354</v>
      </c>
      <c r="R10" s="584">
        <f t="shared" si="4"/>
        <v>-35.25358719243795</v>
      </c>
      <c r="S10" s="584">
        <f t="shared" si="5"/>
        <v>-27.659574468085108</v>
      </c>
      <c r="T10" s="584">
        <f t="shared" si="0"/>
        <v>-10.497605824840695</v>
      </c>
    </row>
    <row r="11" spans="1:20" ht="24">
      <c r="A11" s="183" t="s">
        <v>356</v>
      </c>
      <c r="B11" s="244">
        <v>23928780.290000003</v>
      </c>
      <c r="C11" s="244">
        <v>123060.56000000001</v>
      </c>
      <c r="D11" s="244">
        <v>685723.27</v>
      </c>
      <c r="E11" s="244">
        <v>14968348.610000001</v>
      </c>
      <c r="F11" s="187">
        <f t="shared" si="1"/>
        <v>39705912.730000004</v>
      </c>
      <c r="G11" s="164">
        <v>1</v>
      </c>
      <c r="H11" s="167" t="s">
        <v>87</v>
      </c>
      <c r="I11" s="33">
        <f t="shared" si="2"/>
        <v>39705912.730000004</v>
      </c>
      <c r="J11" s="244">
        <v>20554656.54</v>
      </c>
      <c r="K11" s="244">
        <v>98150.87</v>
      </c>
      <c r="L11" s="244">
        <v>633498.1000000001</v>
      </c>
      <c r="M11" s="244">
        <v>13105966.940000001</v>
      </c>
      <c r="N11" s="187">
        <f>SUM(J11:M11)</f>
        <v>34392272.45</v>
      </c>
      <c r="O11" s="164">
        <v>1</v>
      </c>
      <c r="P11" s="167" t="s">
        <v>87</v>
      </c>
      <c r="Q11" s="33">
        <f t="shared" si="3"/>
        <v>34392272.45</v>
      </c>
      <c r="R11" s="584">
        <f t="shared" si="4"/>
        <v>-13.382491207626247</v>
      </c>
      <c r="S11" s="584">
        <f t="shared" si="5"/>
        <v>0</v>
      </c>
      <c r="T11" s="584">
        <f t="shared" si="0"/>
        <v>-13.382491207626247</v>
      </c>
    </row>
    <row r="12" spans="1:20" ht="48">
      <c r="A12" s="165" t="s">
        <v>357</v>
      </c>
      <c r="B12" s="244">
        <v>11623038.625</v>
      </c>
      <c r="C12" s="244">
        <v>28783.26</v>
      </c>
      <c r="D12" s="244">
        <v>410434.51</v>
      </c>
      <c r="E12" s="244">
        <v>42429.33</v>
      </c>
      <c r="F12" s="187">
        <f t="shared" si="1"/>
        <v>12104685.725</v>
      </c>
      <c r="G12" s="164">
        <v>16</v>
      </c>
      <c r="H12" s="167" t="s">
        <v>4</v>
      </c>
      <c r="I12" s="33">
        <f t="shared" si="2"/>
        <v>756542.8578125</v>
      </c>
      <c r="J12" s="188">
        <v>0</v>
      </c>
      <c r="K12" s="188">
        <v>0</v>
      </c>
      <c r="L12" s="188">
        <v>0</v>
      </c>
      <c r="M12" s="188">
        <v>0</v>
      </c>
      <c r="N12" s="187">
        <f>SUM(J12:M12)</f>
        <v>0</v>
      </c>
      <c r="O12" s="288">
        <v>0</v>
      </c>
      <c r="P12" s="167" t="s">
        <v>4</v>
      </c>
      <c r="Q12" s="187">
        <v>0</v>
      </c>
      <c r="R12" s="584">
        <f t="shared" si="4"/>
        <v>-100</v>
      </c>
      <c r="S12" s="584">
        <f t="shared" si="5"/>
        <v>-100</v>
      </c>
      <c r="T12" s="584">
        <v>-100</v>
      </c>
    </row>
    <row r="13" spans="1:20" ht="24">
      <c r="A13" s="165" t="s">
        <v>386</v>
      </c>
      <c r="B13" s="188">
        <v>0</v>
      </c>
      <c r="C13" s="188">
        <v>0</v>
      </c>
      <c r="D13" s="188">
        <v>0</v>
      </c>
      <c r="E13" s="188">
        <v>0</v>
      </c>
      <c r="F13" s="187">
        <f t="shared" si="1"/>
        <v>0</v>
      </c>
      <c r="G13" s="288">
        <v>0</v>
      </c>
      <c r="H13" s="288" t="s">
        <v>4</v>
      </c>
      <c r="I13" s="187">
        <v>0</v>
      </c>
      <c r="J13" s="188">
        <v>19569631.141000003</v>
      </c>
      <c r="K13" s="188">
        <v>56820.56</v>
      </c>
      <c r="L13" s="188">
        <v>256239.32</v>
      </c>
      <c r="M13" s="188">
        <v>81988.15000000001</v>
      </c>
      <c r="N13" s="187">
        <f t="shared" si="6"/>
        <v>19964679.171</v>
      </c>
      <c r="O13" s="164">
        <v>15</v>
      </c>
      <c r="P13" s="167" t="s">
        <v>4</v>
      </c>
      <c r="Q13" s="187">
        <v>0</v>
      </c>
      <c r="R13" s="584">
        <v>100</v>
      </c>
      <c r="S13" s="584">
        <v>100</v>
      </c>
      <c r="T13" s="584">
        <v>100</v>
      </c>
    </row>
    <row r="14" spans="1:20" ht="48">
      <c r="A14" s="165" t="s">
        <v>358</v>
      </c>
      <c r="B14" s="188">
        <v>40577925.29</v>
      </c>
      <c r="C14" s="188">
        <v>163539.315</v>
      </c>
      <c r="D14" s="188">
        <v>13832736.309999999</v>
      </c>
      <c r="E14" s="188">
        <v>2200489.56</v>
      </c>
      <c r="F14" s="187">
        <f t="shared" si="1"/>
        <v>56774690.474999994</v>
      </c>
      <c r="G14" s="288">
        <v>71</v>
      </c>
      <c r="H14" s="291" t="s">
        <v>4</v>
      </c>
      <c r="I14" s="33">
        <f t="shared" si="2"/>
        <v>799643.5278169013</v>
      </c>
      <c r="J14" s="244">
        <v>19617801.72</v>
      </c>
      <c r="K14" s="244">
        <v>68014.63</v>
      </c>
      <c r="L14" s="244">
        <v>1503834.49</v>
      </c>
      <c r="M14" s="244">
        <v>2355226.83</v>
      </c>
      <c r="N14" s="187">
        <f t="shared" si="6"/>
        <v>23544877.669999994</v>
      </c>
      <c r="O14" s="164">
        <v>65</v>
      </c>
      <c r="P14" s="167" t="s">
        <v>4</v>
      </c>
      <c r="Q14" s="33">
        <f t="shared" si="3"/>
        <v>362228.88723076915</v>
      </c>
      <c r="R14" s="584">
        <f>(N14-F14)*100/F14</f>
        <v>-58.52927162963983</v>
      </c>
      <c r="S14" s="584">
        <f>(O14-G14)*100/G14</f>
        <v>-8.450704225352112</v>
      </c>
      <c r="T14" s="584">
        <f>(Q14-I14)*100/I14</f>
        <v>-54.70120439545274</v>
      </c>
    </row>
    <row r="15" spans="1:20" ht="72">
      <c r="A15" s="165" t="s">
        <v>359</v>
      </c>
      <c r="B15" s="188">
        <v>40870782.93</v>
      </c>
      <c r="C15" s="188">
        <v>224328.02</v>
      </c>
      <c r="D15" s="188">
        <v>9026381.73</v>
      </c>
      <c r="E15" s="188">
        <v>104288.47</v>
      </c>
      <c r="F15" s="187">
        <f t="shared" si="1"/>
        <v>50225781.150000006</v>
      </c>
      <c r="G15" s="288">
        <v>1</v>
      </c>
      <c r="H15" s="291" t="s">
        <v>90</v>
      </c>
      <c r="I15" s="33">
        <f t="shared" si="2"/>
        <v>50225781.150000006</v>
      </c>
      <c r="J15" s="188">
        <v>0</v>
      </c>
      <c r="K15" s="188">
        <v>0</v>
      </c>
      <c r="L15" s="188">
        <v>0</v>
      </c>
      <c r="M15" s="188">
        <v>0</v>
      </c>
      <c r="N15" s="187">
        <f>SUM(J15:M15)</f>
        <v>0</v>
      </c>
      <c r="O15" s="288">
        <v>0</v>
      </c>
      <c r="P15" s="288" t="s">
        <v>90</v>
      </c>
      <c r="Q15" s="187">
        <v>0</v>
      </c>
      <c r="R15" s="584">
        <f>(N15-F15)*100/F15</f>
        <v>-100.00000000000001</v>
      </c>
      <c r="S15" s="584">
        <f>(O15-G15)*100/G15</f>
        <v>-100</v>
      </c>
      <c r="T15" s="584">
        <f>(Q15-I15)*100/I15</f>
        <v>-100.00000000000001</v>
      </c>
    </row>
    <row r="16" spans="1:20" ht="48">
      <c r="A16" s="165" t="s">
        <v>387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288">
        <v>0</v>
      </c>
      <c r="H16" s="167" t="s">
        <v>4</v>
      </c>
      <c r="I16" s="188">
        <v>0</v>
      </c>
      <c r="J16" s="244">
        <v>35234511.44</v>
      </c>
      <c r="K16" s="244">
        <v>93840.2</v>
      </c>
      <c r="L16" s="244">
        <v>43745499.940000005</v>
      </c>
      <c r="M16" s="244">
        <v>182966.74</v>
      </c>
      <c r="N16" s="187">
        <f t="shared" si="6"/>
        <v>79256818.32000001</v>
      </c>
      <c r="O16" s="164">
        <v>13</v>
      </c>
      <c r="P16" s="167" t="s">
        <v>4</v>
      </c>
      <c r="Q16" s="33">
        <f t="shared" si="3"/>
        <v>6096678.332307693</v>
      </c>
      <c r="R16" s="584">
        <v>100</v>
      </c>
      <c r="S16" s="584">
        <v>100</v>
      </c>
      <c r="T16" s="584">
        <v>100</v>
      </c>
    </row>
    <row r="17" spans="1:20" ht="24.75" thickBot="1">
      <c r="A17" s="35" t="s">
        <v>63</v>
      </c>
      <c r="B17" s="292">
        <f>SUM(B5:B16)</f>
        <v>729578019.5661498</v>
      </c>
      <c r="C17" s="292">
        <f>SUM(C5:C16)</f>
        <v>6699652.055687998</v>
      </c>
      <c r="D17" s="292">
        <f>SUM(D5:D16)</f>
        <v>71232699.15918799</v>
      </c>
      <c r="E17" s="292">
        <f>SUM(E5:E16)</f>
        <v>29570384.174603995</v>
      </c>
      <c r="F17" s="292">
        <f>SUM(F5:F16)</f>
        <v>837080754.95563</v>
      </c>
      <c r="G17" s="245"/>
      <c r="H17" s="245"/>
      <c r="I17" s="245"/>
      <c r="J17" s="292">
        <f>SUM(J5:J16)</f>
        <v>650912478.3210001</v>
      </c>
      <c r="K17" s="292">
        <f>SUM(K5:K16)</f>
        <v>5226768.2</v>
      </c>
      <c r="L17" s="292">
        <f>SUM(L5:L16)</f>
        <v>106385868.93</v>
      </c>
      <c r="M17" s="292">
        <f>SUM(M5:M16)</f>
        <v>29186122.249999996</v>
      </c>
      <c r="N17" s="292">
        <f>SUM(N5:N16)</f>
        <v>791711237.7010001</v>
      </c>
      <c r="O17" s="37"/>
      <c r="P17" s="37"/>
      <c r="Q17" s="37"/>
      <c r="R17" s="585"/>
      <c r="S17" s="585"/>
      <c r="T17" s="585"/>
    </row>
    <row r="18" spans="1:14" ht="24.75" thickTop="1">
      <c r="A18" s="38"/>
      <c r="B18" s="38"/>
      <c r="C18" s="38"/>
      <c r="D18" s="38"/>
      <c r="E18" s="38"/>
      <c r="F18" s="38"/>
      <c r="G18" s="87"/>
      <c r="H18" s="87"/>
      <c r="I18" s="38"/>
      <c r="J18" s="39"/>
      <c r="K18" s="40"/>
      <c r="L18" s="39"/>
      <c r="M18" s="39"/>
      <c r="N18" s="39"/>
    </row>
  </sheetData>
  <sheetProtection/>
  <mergeCells count="4">
    <mergeCell ref="A1:T1"/>
    <mergeCell ref="J3:Q3"/>
    <mergeCell ref="R3:T3"/>
    <mergeCell ref="B3:I3"/>
  </mergeCells>
  <printOptions horizontalCentered="1"/>
  <pageMargins left="0.25" right="0" top="0" bottom="0" header="0.511811023622047" footer="0.511811023622047"/>
  <pageSetup orientation="landscape" paperSize="5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7">
      <selection activeCell="B15" sqref="B15"/>
    </sheetView>
  </sheetViews>
  <sheetFormatPr defaultColWidth="9.140625" defaultRowHeight="24" customHeight="1"/>
  <cols>
    <col min="1" max="1" width="9.140625" style="28" customWidth="1"/>
    <col min="2" max="2" width="8.00390625" style="28" customWidth="1"/>
    <col min="3" max="14" width="9.140625" style="28" customWidth="1"/>
    <col min="15" max="15" width="14.140625" style="28" customWidth="1"/>
    <col min="16" max="16" width="11.57421875" style="28" customWidth="1"/>
    <col min="17" max="17" width="10.57421875" style="28" customWidth="1"/>
    <col min="18" max="16384" width="9.140625" style="28" customWidth="1"/>
  </cols>
  <sheetData>
    <row r="1" spans="1:2" ht="24" customHeight="1">
      <c r="A1" s="84" t="s">
        <v>51</v>
      </c>
      <c r="B1" s="28" t="s">
        <v>50</v>
      </c>
    </row>
    <row r="3" spans="1:16" s="573" customFormat="1" ht="90" customHeight="1">
      <c r="A3" s="646" t="s">
        <v>435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571"/>
    </row>
    <row r="4" spans="1:16" s="573" customFormat="1" ht="108.75" customHeight="1">
      <c r="A4" s="646" t="s">
        <v>427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571"/>
    </row>
    <row r="5" spans="1:16" s="573" customFormat="1" ht="97.5" customHeight="1">
      <c r="A5" s="646" t="s">
        <v>428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571"/>
    </row>
    <row r="6" spans="1:16" s="573" customFormat="1" ht="90" customHeight="1">
      <c r="A6" s="646" t="s">
        <v>430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571"/>
    </row>
    <row r="7" spans="1:16" s="573" customFormat="1" ht="166.5" customHeight="1">
      <c r="A7" s="646" t="s">
        <v>444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571"/>
    </row>
    <row r="8" spans="1:16" s="573" customFormat="1" ht="67.5" customHeight="1">
      <c r="A8" s="646" t="s">
        <v>433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571"/>
    </row>
    <row r="9" spans="1:16" s="573" customFormat="1" ht="84" customHeight="1">
      <c r="A9" s="646" t="s">
        <v>400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571"/>
    </row>
  </sheetData>
  <sheetProtection/>
  <mergeCells count="7">
    <mergeCell ref="A6:O6"/>
    <mergeCell ref="A7:O7"/>
    <mergeCell ref="A8:O8"/>
    <mergeCell ref="A9:O9"/>
    <mergeCell ref="A3:O3"/>
    <mergeCell ref="A4:O4"/>
    <mergeCell ref="A5:O5"/>
  </mergeCells>
  <printOptions horizontalCentered="1"/>
  <pageMargins left="0.69" right="0.15" top="0.69" bottom="0.15" header="0.31496062992126" footer="0.511811023622047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2"/>
  <sheetViews>
    <sheetView zoomScale="90" zoomScaleNormal="90" zoomScaleSheetLayoutView="131" zoomScalePageLayoutView="0" workbookViewId="0" topLeftCell="A1">
      <selection activeCell="B15" sqref="B15"/>
    </sheetView>
  </sheetViews>
  <sheetFormatPr defaultColWidth="9.140625" defaultRowHeight="12.75"/>
  <cols>
    <col min="1" max="1" width="33.00390625" style="59" customWidth="1"/>
    <col min="2" max="2" width="16.140625" style="59" bestFit="1" customWidth="1"/>
    <col min="3" max="3" width="16.8515625" style="59" bestFit="1" customWidth="1"/>
    <col min="4" max="5" width="14.7109375" style="59" bestFit="1" customWidth="1"/>
    <col min="6" max="6" width="15.8515625" style="59" bestFit="1" customWidth="1"/>
    <col min="7" max="7" width="7.140625" style="59" bestFit="1" customWidth="1"/>
    <col min="8" max="8" width="8.421875" style="59" bestFit="1" customWidth="1"/>
    <col min="9" max="9" width="14.140625" style="59" bestFit="1" customWidth="1"/>
    <col min="10" max="10" width="16.421875" style="77" bestFit="1" customWidth="1"/>
    <col min="11" max="11" width="16.8515625" style="59" bestFit="1" customWidth="1"/>
    <col min="12" max="12" width="17.7109375" style="59" customWidth="1"/>
    <col min="13" max="13" width="15.140625" style="59" customWidth="1"/>
    <col min="14" max="14" width="15.8515625" style="59" bestFit="1" customWidth="1"/>
    <col min="15" max="15" width="7.140625" style="59" bestFit="1" customWidth="1"/>
    <col min="16" max="16" width="8.421875" style="59" bestFit="1" customWidth="1"/>
    <col min="17" max="17" width="13.00390625" style="59" bestFit="1" customWidth="1"/>
    <col min="18" max="18" width="9.140625" style="589" customWidth="1"/>
    <col min="19" max="19" width="9.28125" style="589" customWidth="1"/>
    <col min="20" max="20" width="9.140625" style="589" customWidth="1"/>
    <col min="21" max="16384" width="9.140625" style="59" customWidth="1"/>
  </cols>
  <sheetData>
    <row r="1" spans="1:20" s="89" customFormat="1" ht="27.75">
      <c r="A1" s="648" t="s">
        <v>388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</row>
    <row r="2" spans="1:20" s="89" customFormat="1" ht="28.5" customHeight="1">
      <c r="A2" s="58" t="s">
        <v>76</v>
      </c>
      <c r="J2" s="122"/>
      <c r="R2" s="586"/>
      <c r="S2" s="586"/>
      <c r="T2" s="586"/>
    </row>
    <row r="3" spans="1:20" s="89" customFormat="1" ht="24">
      <c r="A3" s="649" t="s">
        <v>20</v>
      </c>
      <c r="B3" s="647" t="s">
        <v>350</v>
      </c>
      <c r="C3" s="647"/>
      <c r="D3" s="647"/>
      <c r="E3" s="647"/>
      <c r="F3" s="647"/>
      <c r="G3" s="647"/>
      <c r="H3" s="647"/>
      <c r="I3" s="647"/>
      <c r="J3" s="647" t="s">
        <v>389</v>
      </c>
      <c r="K3" s="647"/>
      <c r="L3" s="647"/>
      <c r="M3" s="647"/>
      <c r="N3" s="647"/>
      <c r="O3" s="647"/>
      <c r="P3" s="647"/>
      <c r="Q3" s="647"/>
      <c r="R3" s="639" t="s">
        <v>46</v>
      </c>
      <c r="S3" s="639"/>
      <c r="T3" s="639"/>
    </row>
    <row r="4" spans="1:20" s="63" customFormat="1" ht="96">
      <c r="A4" s="650"/>
      <c r="B4" s="60" t="s">
        <v>0</v>
      </c>
      <c r="C4" s="60" t="s">
        <v>1</v>
      </c>
      <c r="D4" s="60" t="s">
        <v>2</v>
      </c>
      <c r="E4" s="60" t="s">
        <v>3</v>
      </c>
      <c r="F4" s="60" t="s">
        <v>11</v>
      </c>
      <c r="G4" s="61" t="s">
        <v>9</v>
      </c>
      <c r="H4" s="61" t="s">
        <v>10</v>
      </c>
      <c r="I4" s="62" t="s">
        <v>12</v>
      </c>
      <c r="J4" s="60" t="s">
        <v>0</v>
      </c>
      <c r="K4" s="60" t="s">
        <v>1</v>
      </c>
      <c r="L4" s="60" t="s">
        <v>2</v>
      </c>
      <c r="M4" s="60" t="s">
        <v>3</v>
      </c>
      <c r="N4" s="60" t="s">
        <v>11</v>
      </c>
      <c r="O4" s="61" t="s">
        <v>9</v>
      </c>
      <c r="P4" s="61" t="s">
        <v>10</v>
      </c>
      <c r="Q4" s="62" t="s">
        <v>12</v>
      </c>
      <c r="R4" s="582" t="s">
        <v>43</v>
      </c>
      <c r="S4" s="582" t="s">
        <v>44</v>
      </c>
      <c r="T4" s="583" t="s">
        <v>45</v>
      </c>
    </row>
    <row r="5" spans="1:20" s="63" customFormat="1" ht="93">
      <c r="A5" s="67" t="s">
        <v>360</v>
      </c>
      <c r="B5" s="548">
        <v>275327355.59000003</v>
      </c>
      <c r="C5" s="548">
        <v>0</v>
      </c>
      <c r="D5" s="548">
        <v>5465083.69</v>
      </c>
      <c r="E5" s="548">
        <v>0</v>
      </c>
      <c r="F5" s="246">
        <f>SUM(B5:E5)</f>
        <v>280792439.28000003</v>
      </c>
      <c r="G5" s="567">
        <v>453</v>
      </c>
      <c r="H5" s="549" t="s">
        <v>6</v>
      </c>
      <c r="I5" s="302">
        <f>+F5/G5</f>
        <v>619850.8593377484</v>
      </c>
      <c r="J5" s="33">
        <v>269118550.1</v>
      </c>
      <c r="K5" s="187">
        <v>0</v>
      </c>
      <c r="L5" s="33">
        <v>5471223.6899999995</v>
      </c>
      <c r="M5" s="187">
        <v>0</v>
      </c>
      <c r="N5" s="33">
        <f aca="true" t="shared" si="0" ref="N5:N10">SUM(J5:M5)</f>
        <v>274589773.79</v>
      </c>
      <c r="O5" s="570">
        <v>450</v>
      </c>
      <c r="P5" s="34" t="s">
        <v>6</v>
      </c>
      <c r="Q5" s="33">
        <f>N5/O5</f>
        <v>610199.4973111112</v>
      </c>
      <c r="R5" s="587">
        <f aca="true" t="shared" si="1" ref="R5:S9">(N5-F5)*100/F5</f>
        <v>-2.208985934915024</v>
      </c>
      <c r="S5" s="587">
        <f t="shared" si="1"/>
        <v>-0.6622516556291391</v>
      </c>
      <c r="T5" s="587">
        <f>(Q5-I5)*100/I5</f>
        <v>-1.55704584114778</v>
      </c>
    </row>
    <row r="6" spans="1:20" ht="30.75" customHeight="1">
      <c r="A6" s="67" t="s">
        <v>361</v>
      </c>
      <c r="B6" s="246">
        <v>334913100.19115</v>
      </c>
      <c r="C6" s="246">
        <v>6213926.440687999</v>
      </c>
      <c r="D6" s="246">
        <v>42147475.439187996</v>
      </c>
      <c r="E6" s="246">
        <v>26964847.364604004</v>
      </c>
      <c r="F6" s="246">
        <f>SUM(B6:E6)</f>
        <v>410239349.43563</v>
      </c>
      <c r="G6" s="568">
        <v>840</v>
      </c>
      <c r="H6" s="301" t="s">
        <v>5</v>
      </c>
      <c r="I6" s="302">
        <f>+F6/G6</f>
        <v>488380.17789955955</v>
      </c>
      <c r="J6" s="33">
        <v>290679901.90000004</v>
      </c>
      <c r="K6" s="33">
        <v>4946107.840000001</v>
      </c>
      <c r="L6" s="33">
        <v>54978269.72</v>
      </c>
      <c r="M6" s="33">
        <v>26305659.560000002</v>
      </c>
      <c r="N6" s="33">
        <f t="shared" si="0"/>
        <v>376909939.02000004</v>
      </c>
      <c r="O6" s="570">
        <f>404+59</f>
        <v>463</v>
      </c>
      <c r="P6" s="34" t="s">
        <v>5</v>
      </c>
      <c r="Q6" s="33">
        <f>N6/O6</f>
        <v>814060.3434557236</v>
      </c>
      <c r="R6" s="587">
        <f t="shared" si="1"/>
        <v>-8.124381647319193</v>
      </c>
      <c r="S6" s="587">
        <f t="shared" si="1"/>
        <v>-44.88095238095238</v>
      </c>
      <c r="T6" s="587">
        <f>(Q6-I6)*100/I6</f>
        <v>66.68578707613796</v>
      </c>
    </row>
    <row r="7" spans="1:20" ht="96">
      <c r="A7" s="165" t="s">
        <v>362</v>
      </c>
      <c r="B7" s="293">
        <v>66843742.23</v>
      </c>
      <c r="C7" s="293">
        <v>232614.33500000002</v>
      </c>
      <c r="D7" s="293">
        <v>14183323.79</v>
      </c>
      <c r="E7" s="293">
        <v>2458819.0100000002</v>
      </c>
      <c r="F7" s="246">
        <f>SUM(B7:E7)</f>
        <v>83718499.365</v>
      </c>
      <c r="G7" s="569">
        <v>13</v>
      </c>
      <c r="H7" s="303" t="s">
        <v>5</v>
      </c>
      <c r="I7" s="302">
        <f>+F7/G7</f>
        <v>6439884.5665384615</v>
      </c>
      <c r="J7" s="293">
        <v>55879514.879999995</v>
      </c>
      <c r="K7" s="293">
        <v>186820.16</v>
      </c>
      <c r="L7" s="293">
        <v>2190875.58</v>
      </c>
      <c r="M7" s="293">
        <v>2697495.95</v>
      </c>
      <c r="N7" s="246">
        <f t="shared" si="0"/>
        <v>60954706.56999999</v>
      </c>
      <c r="O7" s="569">
        <v>11</v>
      </c>
      <c r="P7" s="303" t="s">
        <v>5</v>
      </c>
      <c r="Q7" s="302">
        <f>+N7/O7</f>
        <v>5541336.96090909</v>
      </c>
      <c r="R7" s="587">
        <f t="shared" si="1"/>
        <v>-27.190875335394278</v>
      </c>
      <c r="S7" s="587">
        <f t="shared" si="1"/>
        <v>-15.384615384615385</v>
      </c>
      <c r="T7" s="587">
        <f>(Q7-I7)*100/I7</f>
        <v>-13.95285266910234</v>
      </c>
    </row>
    <row r="8" spans="1:20" ht="72">
      <c r="A8" s="165" t="s">
        <v>363</v>
      </c>
      <c r="B8" s="293">
        <v>11623038.625</v>
      </c>
      <c r="C8" s="293">
        <v>28783.26</v>
      </c>
      <c r="D8" s="293">
        <v>410434.51</v>
      </c>
      <c r="E8" s="293">
        <v>42429.33</v>
      </c>
      <c r="F8" s="246">
        <f>SUM(B8:E8)</f>
        <v>12104685.725</v>
      </c>
      <c r="G8" s="569">
        <v>16</v>
      </c>
      <c r="H8" s="303" t="s">
        <v>4</v>
      </c>
      <c r="I8" s="302">
        <f>+F8/G8</f>
        <v>756542.8578125</v>
      </c>
      <c r="J8" s="293">
        <v>0</v>
      </c>
      <c r="K8" s="293">
        <v>0</v>
      </c>
      <c r="L8" s="293">
        <v>0</v>
      </c>
      <c r="M8" s="293">
        <v>0</v>
      </c>
      <c r="N8" s="562">
        <f t="shared" si="0"/>
        <v>0</v>
      </c>
      <c r="O8" s="569">
        <v>0</v>
      </c>
      <c r="P8" s="303" t="s">
        <v>4</v>
      </c>
      <c r="Q8" s="563">
        <v>0</v>
      </c>
      <c r="R8" s="587">
        <f t="shared" si="1"/>
        <v>-100</v>
      </c>
      <c r="S8" s="587">
        <f t="shared" si="1"/>
        <v>-100</v>
      </c>
      <c r="T8" s="587">
        <v>-100</v>
      </c>
    </row>
    <row r="9" spans="1:20" ht="96">
      <c r="A9" s="165" t="s">
        <v>364</v>
      </c>
      <c r="B9" s="293">
        <v>40870782.93</v>
      </c>
      <c r="C9" s="293">
        <v>224328.02</v>
      </c>
      <c r="D9" s="293">
        <v>9026381.73</v>
      </c>
      <c r="E9" s="293">
        <v>104288.47</v>
      </c>
      <c r="F9" s="246">
        <f>SUM(B9:E9)</f>
        <v>50225781.150000006</v>
      </c>
      <c r="G9" s="569">
        <v>1</v>
      </c>
      <c r="H9" s="303" t="s">
        <v>90</v>
      </c>
      <c r="I9" s="302">
        <f>+F9/G9</f>
        <v>50225781.150000006</v>
      </c>
      <c r="J9" s="293">
        <v>0</v>
      </c>
      <c r="K9" s="293">
        <v>0</v>
      </c>
      <c r="L9" s="293">
        <v>0</v>
      </c>
      <c r="M9" s="293">
        <v>0</v>
      </c>
      <c r="N9" s="562">
        <f t="shared" si="0"/>
        <v>0</v>
      </c>
      <c r="O9" s="569">
        <v>0</v>
      </c>
      <c r="P9" s="303" t="s">
        <v>90</v>
      </c>
      <c r="Q9" s="563">
        <v>0</v>
      </c>
      <c r="R9" s="587">
        <f t="shared" si="1"/>
        <v>-100.00000000000001</v>
      </c>
      <c r="S9" s="587">
        <f t="shared" si="1"/>
        <v>-100</v>
      </c>
      <c r="T9" s="587">
        <v>-100</v>
      </c>
    </row>
    <row r="10" spans="1:20" ht="72">
      <c r="A10" s="165" t="s">
        <v>391</v>
      </c>
      <c r="B10" s="293">
        <v>0</v>
      </c>
      <c r="C10" s="293">
        <v>0</v>
      </c>
      <c r="D10" s="293">
        <v>0</v>
      </c>
      <c r="E10" s="293">
        <v>0</v>
      </c>
      <c r="F10" s="560">
        <v>0</v>
      </c>
      <c r="G10" s="569">
        <v>0</v>
      </c>
      <c r="H10" s="303" t="s">
        <v>4</v>
      </c>
      <c r="I10" s="561">
        <v>0</v>
      </c>
      <c r="J10" s="293">
        <v>35234511.44</v>
      </c>
      <c r="K10" s="293">
        <v>93840.2</v>
      </c>
      <c r="L10" s="293">
        <v>43745499.940000005</v>
      </c>
      <c r="M10" s="293">
        <v>182966.74</v>
      </c>
      <c r="N10" s="246">
        <f t="shared" si="0"/>
        <v>79256818.32000001</v>
      </c>
      <c r="O10" s="569">
        <v>13</v>
      </c>
      <c r="P10" s="303" t="s">
        <v>4</v>
      </c>
      <c r="Q10" s="302">
        <f>+N10/O10</f>
        <v>6096678.332307693</v>
      </c>
      <c r="R10" s="587">
        <v>100</v>
      </c>
      <c r="S10" s="587">
        <v>100</v>
      </c>
      <c r="T10" s="587">
        <v>100</v>
      </c>
    </row>
    <row r="11" spans="1:20" ht="24" thickBot="1">
      <c r="A11" s="90" t="s">
        <v>64</v>
      </c>
      <c r="B11" s="247">
        <f>SUM(B5:B10)</f>
        <v>729578019.5661501</v>
      </c>
      <c r="C11" s="247">
        <f>SUM(C5:C10)</f>
        <v>6699652.055687998</v>
      </c>
      <c r="D11" s="247">
        <f>SUM(D5:D10)</f>
        <v>71232699.15918799</v>
      </c>
      <c r="E11" s="247">
        <f>SUM(E5:E10)</f>
        <v>29570384.174604002</v>
      </c>
      <c r="F11" s="247">
        <f>SUM(F5:F10)</f>
        <v>837080754.9556301</v>
      </c>
      <c r="G11" s="304"/>
      <c r="H11" s="304"/>
      <c r="I11" s="304"/>
      <c r="J11" s="247">
        <f>SUM(J5:J10)</f>
        <v>650912478.3199999</v>
      </c>
      <c r="K11" s="247">
        <f>SUM(K5:K10)</f>
        <v>5226768.200000001</v>
      </c>
      <c r="L11" s="247">
        <f>SUM(L5:L10)</f>
        <v>106385868.93</v>
      </c>
      <c r="M11" s="247">
        <f>SUM(M5:M10)</f>
        <v>29186122.25</v>
      </c>
      <c r="N11" s="247">
        <f>SUM(N5:N10)</f>
        <v>791711237.7000002</v>
      </c>
      <c r="O11" s="304"/>
      <c r="P11" s="304"/>
      <c r="Q11" s="304"/>
      <c r="R11" s="588"/>
      <c r="S11" s="588"/>
      <c r="T11" s="588"/>
    </row>
    <row r="12" spans="1:14" ht="24" thickTop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1"/>
      <c r="L12" s="70"/>
      <c r="M12" s="70"/>
      <c r="N12" s="70"/>
    </row>
    <row r="13" spans="1:14" ht="23.25">
      <c r="A13" s="70"/>
      <c r="B13" s="70"/>
      <c r="C13" s="70"/>
      <c r="D13" s="70"/>
      <c r="E13" s="70"/>
      <c r="F13" s="70"/>
      <c r="G13" s="70"/>
      <c r="H13" s="70"/>
      <c r="I13" s="70"/>
      <c r="J13" s="74"/>
      <c r="K13" s="75"/>
      <c r="L13" s="74"/>
      <c r="M13" s="75"/>
      <c r="N13" s="70"/>
    </row>
    <row r="14" spans="1:14" ht="23.25">
      <c r="A14" s="70"/>
      <c r="B14" s="70"/>
      <c r="C14" s="70"/>
      <c r="D14" s="70"/>
      <c r="E14" s="70"/>
      <c r="F14" s="70"/>
      <c r="G14" s="70"/>
      <c r="H14" s="70"/>
      <c r="I14" s="70"/>
      <c r="J14" s="74"/>
      <c r="K14" s="75"/>
      <c r="L14" s="74"/>
      <c r="M14" s="75"/>
      <c r="N14" s="70"/>
    </row>
    <row r="15" spans="1:14" ht="23.25">
      <c r="A15" s="70"/>
      <c r="B15" s="70"/>
      <c r="C15" s="70"/>
      <c r="D15" s="70"/>
      <c r="E15" s="70"/>
      <c r="F15" s="70"/>
      <c r="G15" s="70"/>
      <c r="H15" s="70"/>
      <c r="I15" s="70"/>
      <c r="J15" s="74"/>
      <c r="K15" s="75"/>
      <c r="L15" s="74"/>
      <c r="M15" s="75"/>
      <c r="N15" s="70"/>
    </row>
    <row r="16" spans="1:14" ht="23.25">
      <c r="A16" s="70"/>
      <c r="B16" s="70"/>
      <c r="C16" s="70"/>
      <c r="D16" s="70"/>
      <c r="E16" s="70"/>
      <c r="F16" s="70"/>
      <c r="G16" s="70"/>
      <c r="H16" s="70"/>
      <c r="I16" s="70"/>
      <c r="J16" s="74"/>
      <c r="K16" s="75"/>
      <c r="L16" s="74"/>
      <c r="M16" s="75"/>
      <c r="N16" s="70"/>
    </row>
    <row r="17" spans="1:14" ht="23.25">
      <c r="A17" s="71"/>
      <c r="B17" s="71"/>
      <c r="C17" s="71"/>
      <c r="D17" s="71"/>
      <c r="E17" s="71"/>
      <c r="F17" s="71"/>
      <c r="G17" s="71"/>
      <c r="H17" s="71"/>
      <c r="I17" s="71"/>
      <c r="J17" s="74"/>
      <c r="K17" s="75"/>
      <c r="L17" s="74"/>
      <c r="M17" s="75"/>
      <c r="N17" s="76"/>
    </row>
    <row r="18" spans="1:14" ht="23.25">
      <c r="A18" s="71"/>
      <c r="B18" s="71"/>
      <c r="C18" s="71"/>
      <c r="D18" s="71"/>
      <c r="E18" s="71"/>
      <c r="F18" s="71"/>
      <c r="G18" s="71"/>
      <c r="H18" s="71"/>
      <c r="I18" s="71"/>
      <c r="J18" s="74"/>
      <c r="K18" s="75"/>
      <c r="L18" s="74"/>
      <c r="M18" s="75"/>
      <c r="N18" s="76"/>
    </row>
    <row r="19" spans="1:14" ht="23.25">
      <c r="A19" s="71"/>
      <c r="B19" s="71"/>
      <c r="C19" s="71"/>
      <c r="D19" s="71"/>
      <c r="E19" s="71"/>
      <c r="F19" s="71"/>
      <c r="G19" s="71"/>
      <c r="H19" s="71"/>
      <c r="I19" s="71"/>
      <c r="J19" s="74"/>
      <c r="K19" s="75"/>
      <c r="L19" s="74"/>
      <c r="M19" s="75"/>
      <c r="N19" s="76"/>
    </row>
    <row r="20" spans="1:14" ht="23.25">
      <c r="A20" s="71"/>
      <c r="B20" s="71"/>
      <c r="C20" s="71"/>
      <c r="D20" s="71"/>
      <c r="E20" s="71"/>
      <c r="F20" s="71"/>
      <c r="G20" s="71"/>
      <c r="H20" s="71"/>
      <c r="I20" s="71"/>
      <c r="J20" s="74"/>
      <c r="K20" s="75"/>
      <c r="L20" s="74"/>
      <c r="M20" s="75"/>
      <c r="N20" s="76"/>
    </row>
    <row r="21" spans="10:14" ht="23.25">
      <c r="J21" s="74"/>
      <c r="K21" s="75"/>
      <c r="L21" s="74"/>
      <c r="M21" s="75"/>
      <c r="N21" s="77"/>
    </row>
    <row r="22" spans="10:14" ht="23.25">
      <c r="J22" s="74"/>
      <c r="K22" s="75"/>
      <c r="L22" s="74"/>
      <c r="M22" s="75"/>
      <c r="N22" s="77"/>
    </row>
    <row r="23" spans="10:14" ht="23.25">
      <c r="J23" s="74"/>
      <c r="K23" s="75"/>
      <c r="L23" s="74"/>
      <c r="M23" s="75"/>
      <c r="N23" s="77"/>
    </row>
    <row r="24" spans="10:14" ht="23.25">
      <c r="J24" s="74"/>
      <c r="K24" s="75"/>
      <c r="L24" s="74"/>
      <c r="M24" s="75"/>
      <c r="N24" s="77"/>
    </row>
    <row r="25" spans="11:14" ht="23.25">
      <c r="K25" s="77"/>
      <c r="L25" s="77"/>
      <c r="M25" s="77"/>
      <c r="N25" s="77"/>
    </row>
    <row r="26" spans="11:14" ht="23.25">
      <c r="K26" s="77"/>
      <c r="L26" s="77"/>
      <c r="M26" s="77"/>
      <c r="N26" s="77"/>
    </row>
    <row r="27" spans="11:14" ht="23.25">
      <c r="K27" s="77"/>
      <c r="L27" s="77"/>
      <c r="M27" s="77"/>
      <c r="N27" s="77"/>
    </row>
    <row r="28" spans="11:14" ht="23.25">
      <c r="K28" s="77"/>
      <c r="L28" s="77"/>
      <c r="M28" s="77"/>
      <c r="N28" s="77"/>
    </row>
    <row r="29" spans="11:14" ht="23.25">
      <c r="K29" s="77"/>
      <c r="L29" s="77"/>
      <c r="M29" s="77"/>
      <c r="N29" s="77"/>
    </row>
    <row r="30" spans="11:14" ht="23.25">
      <c r="K30" s="77"/>
      <c r="L30" s="77"/>
      <c r="M30" s="77"/>
      <c r="N30" s="77"/>
    </row>
    <row r="31" spans="11:14" ht="23.25">
      <c r="K31" s="77"/>
      <c r="L31" s="77"/>
      <c r="M31" s="77"/>
      <c r="N31" s="77"/>
    </row>
    <row r="32" spans="11:14" ht="23.25">
      <c r="K32" s="77"/>
      <c r="L32" s="77"/>
      <c r="M32" s="77"/>
      <c r="N32" s="77"/>
    </row>
  </sheetData>
  <sheetProtection/>
  <mergeCells count="5">
    <mergeCell ref="J3:Q3"/>
    <mergeCell ref="R3:T3"/>
    <mergeCell ref="A1:T1"/>
    <mergeCell ref="B3:I3"/>
    <mergeCell ref="A3:A4"/>
  </mergeCells>
  <printOptions horizontalCentered="1"/>
  <pageMargins left="0.236220472440945" right="0" top="0.393700787401575" bottom="0" header="0.511811023622047" footer="0.511811023622047"/>
  <pageSetup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98" zoomScaleNormal="98" zoomScalePageLayoutView="0" workbookViewId="0" topLeftCell="A1">
      <pane xSplit="2" ySplit="4" topLeftCell="C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C57" sqref="C57"/>
    </sheetView>
  </sheetViews>
  <sheetFormatPr defaultColWidth="9.140625" defaultRowHeight="12.75"/>
  <cols>
    <col min="1" max="1" width="34.7109375" style="114" customWidth="1"/>
    <col min="2" max="2" width="5.57421875" style="114" customWidth="1"/>
    <col min="3" max="3" width="14.8515625" style="153" customWidth="1"/>
    <col min="4" max="6" width="14.8515625" style="102" customWidth="1"/>
    <col min="7" max="9" width="14.8515625" style="155" customWidth="1"/>
    <col min="10" max="11" width="14.8515625" style="102" customWidth="1"/>
    <col min="12" max="13" width="14.8515625" style="102" hidden="1" customWidth="1"/>
    <col min="14" max="17" width="14.8515625" style="102" customWidth="1"/>
    <col min="18" max="18" width="14.8515625" style="162" customWidth="1"/>
    <col min="19" max="16384" width="9.140625" style="102" customWidth="1"/>
  </cols>
  <sheetData>
    <row r="1" spans="1:5" ht="21.75">
      <c r="A1" s="113" t="s">
        <v>73</v>
      </c>
      <c r="B1" s="113"/>
      <c r="C1" s="152"/>
      <c r="D1" s="113"/>
      <c r="E1" s="113"/>
    </row>
    <row r="2" ht="21.75" customHeight="1">
      <c r="R2" s="553" t="s">
        <v>17</v>
      </c>
    </row>
    <row r="3" spans="1:18" ht="21.75" customHeight="1">
      <c r="A3" s="618" t="s">
        <v>31</v>
      </c>
      <c r="B3" s="203"/>
      <c r="C3" s="621" t="s">
        <v>40</v>
      </c>
      <c r="D3" s="622"/>
      <c r="E3" s="622"/>
      <c r="F3" s="622"/>
      <c r="G3" s="622"/>
      <c r="H3" s="622"/>
      <c r="I3" s="622"/>
      <c r="J3" s="623"/>
      <c r="K3" s="620" t="s">
        <v>41</v>
      </c>
      <c r="L3" s="620"/>
      <c r="M3" s="620"/>
      <c r="N3" s="620"/>
      <c r="O3" s="620"/>
      <c r="P3" s="620"/>
      <c r="Q3" s="620"/>
      <c r="R3" s="616" t="s">
        <v>18</v>
      </c>
    </row>
    <row r="4" spans="1:18" ht="132" customHeight="1">
      <c r="A4" s="619"/>
      <c r="B4" s="201"/>
      <c r="C4" s="156" t="s">
        <v>83</v>
      </c>
      <c r="D4" s="8" t="s">
        <v>84</v>
      </c>
      <c r="E4" s="8" t="s">
        <v>82</v>
      </c>
      <c r="F4" s="297" t="s">
        <v>297</v>
      </c>
      <c r="G4" s="156" t="s">
        <v>85</v>
      </c>
      <c r="H4" s="156" t="s">
        <v>244</v>
      </c>
      <c r="I4" s="156" t="s">
        <v>86</v>
      </c>
      <c r="J4" s="8" t="s">
        <v>18</v>
      </c>
      <c r="K4" s="207" t="s">
        <v>245</v>
      </c>
      <c r="L4" s="208" t="s">
        <v>246</v>
      </c>
      <c r="M4" s="8" t="s">
        <v>119</v>
      </c>
      <c r="N4" s="297" t="s">
        <v>378</v>
      </c>
      <c r="O4" s="8" t="s">
        <v>296</v>
      </c>
      <c r="P4" s="156" t="s">
        <v>298</v>
      </c>
      <c r="Q4" s="8" t="s">
        <v>18</v>
      </c>
      <c r="R4" s="617"/>
    </row>
    <row r="5" spans="1:18" ht="21.75">
      <c r="A5" s="9" t="s">
        <v>32</v>
      </c>
      <c r="B5" s="9"/>
      <c r="C5" s="154"/>
      <c r="D5" s="10"/>
      <c r="E5" s="10"/>
      <c r="F5" s="10"/>
      <c r="G5" s="145"/>
      <c r="H5" s="145"/>
      <c r="I5" s="145"/>
      <c r="J5" s="10"/>
      <c r="K5" s="10"/>
      <c r="L5" s="10"/>
      <c r="M5" s="10"/>
      <c r="N5" s="10"/>
      <c r="O5" s="10"/>
      <c r="P5" s="10"/>
      <c r="Q5" s="10"/>
      <c r="R5" s="554"/>
    </row>
    <row r="6" spans="1:18" ht="21.75" customHeight="1">
      <c r="A6" s="144" t="s">
        <v>116</v>
      </c>
      <c r="B6" s="11">
        <v>10</v>
      </c>
      <c r="C6" s="317">
        <v>5147220.17</v>
      </c>
      <c r="D6" s="320">
        <v>0</v>
      </c>
      <c r="E6" s="320">
        <v>3054060.4499999997</v>
      </c>
      <c r="F6" s="321">
        <v>3009383.3000000003</v>
      </c>
      <c r="G6" s="317">
        <v>0</v>
      </c>
      <c r="H6" s="317">
        <v>0</v>
      </c>
      <c r="I6" s="317">
        <v>0</v>
      </c>
      <c r="J6" s="321">
        <f>SUM(C6:I6)</f>
        <v>11210663.92</v>
      </c>
      <c r="K6" s="320">
        <v>438778.64</v>
      </c>
      <c r="L6" s="320"/>
      <c r="M6" s="320"/>
      <c r="N6" s="320">
        <v>649387.24</v>
      </c>
      <c r="O6" s="321">
        <v>88286.84</v>
      </c>
      <c r="P6" s="321">
        <v>647.4</v>
      </c>
      <c r="Q6" s="321">
        <f>SUM(K6:P6)</f>
        <v>1177100.1199999999</v>
      </c>
      <c r="R6" s="319">
        <f>J6+Q6</f>
        <v>12387764.04</v>
      </c>
    </row>
    <row r="7" spans="1:18" ht="21.75" customHeight="1">
      <c r="A7" s="144" t="s">
        <v>117</v>
      </c>
      <c r="B7" s="11">
        <v>11</v>
      </c>
      <c r="C7" s="317">
        <v>5462849.4399999995</v>
      </c>
      <c r="D7" s="320">
        <v>330780</v>
      </c>
      <c r="E7" s="320">
        <v>5600997.039999999</v>
      </c>
      <c r="F7" s="317">
        <v>10172255.32</v>
      </c>
      <c r="G7" s="317">
        <v>171994.11999999997</v>
      </c>
      <c r="H7" s="317">
        <v>0</v>
      </c>
      <c r="I7" s="317">
        <v>0</v>
      </c>
      <c r="J7" s="321">
        <f aca="true" t="shared" si="0" ref="J7:J38">SUM(C7:I7)</f>
        <v>21738875.919999998</v>
      </c>
      <c r="K7" s="320">
        <v>394900.77</v>
      </c>
      <c r="L7" s="320"/>
      <c r="M7" s="320"/>
      <c r="N7" s="320">
        <v>649387.24</v>
      </c>
      <c r="O7" s="320">
        <v>88286.84</v>
      </c>
      <c r="P7" s="321">
        <v>647.4</v>
      </c>
      <c r="Q7" s="321">
        <f aca="true" t="shared" si="1" ref="Q7:Q37">SUM(K7:P7)</f>
        <v>1133222.25</v>
      </c>
      <c r="R7" s="319">
        <f aca="true" t="shared" si="2" ref="R7:R38">J7+Q7</f>
        <v>22872098.169999998</v>
      </c>
    </row>
    <row r="8" spans="1:18" s="162" customFormat="1" ht="21.75" customHeight="1">
      <c r="A8" s="144" t="s">
        <v>104</v>
      </c>
      <c r="B8" s="144">
        <v>13</v>
      </c>
      <c r="C8" s="317">
        <v>8785530.919999998</v>
      </c>
      <c r="D8" s="317">
        <v>142464.68</v>
      </c>
      <c r="E8" s="317">
        <v>31723.6</v>
      </c>
      <c r="F8" s="317">
        <v>134065586.44999997</v>
      </c>
      <c r="G8" s="317">
        <v>81548.87999999999</v>
      </c>
      <c r="H8" s="317">
        <v>0</v>
      </c>
      <c r="I8" s="317">
        <v>1</v>
      </c>
      <c r="J8" s="319">
        <f t="shared" si="0"/>
        <v>143106855.52999997</v>
      </c>
      <c r="K8" s="317">
        <v>745923.69</v>
      </c>
      <c r="L8" s="320"/>
      <c r="M8" s="317"/>
      <c r="N8" s="317">
        <v>1352890.08</v>
      </c>
      <c r="O8" s="317">
        <v>183930.91</v>
      </c>
      <c r="P8" s="321">
        <v>1348.74</v>
      </c>
      <c r="Q8" s="321">
        <f t="shared" si="1"/>
        <v>2284093.4200000004</v>
      </c>
      <c r="R8" s="319">
        <f t="shared" si="2"/>
        <v>145390948.94999996</v>
      </c>
    </row>
    <row r="9" spans="1:18" s="162" customFormat="1" ht="21.75">
      <c r="A9" s="144" t="s">
        <v>137</v>
      </c>
      <c r="B9" s="144">
        <v>14</v>
      </c>
      <c r="C9" s="317">
        <v>5959087.58</v>
      </c>
      <c r="D9" s="317">
        <v>999472</v>
      </c>
      <c r="E9" s="317">
        <v>0</v>
      </c>
      <c r="F9" s="317">
        <v>37821364.98</v>
      </c>
      <c r="G9" s="317">
        <v>3096181.79</v>
      </c>
      <c r="H9" s="317">
        <v>0</v>
      </c>
      <c r="I9" s="317">
        <v>0</v>
      </c>
      <c r="J9" s="319">
        <f t="shared" si="0"/>
        <v>47876106.349999994</v>
      </c>
      <c r="K9" s="317">
        <v>351022.91</v>
      </c>
      <c r="L9" s="320"/>
      <c r="M9" s="317"/>
      <c r="N9" s="317">
        <v>662705.7</v>
      </c>
      <c r="O9" s="317">
        <v>132430.26</v>
      </c>
      <c r="P9" s="321">
        <v>971.09</v>
      </c>
      <c r="Q9" s="321">
        <f t="shared" si="1"/>
        <v>1147129.96</v>
      </c>
      <c r="R9" s="319">
        <f t="shared" si="2"/>
        <v>49023236.309999995</v>
      </c>
    </row>
    <row r="10" spans="1:18" ht="21.75">
      <c r="A10" s="144" t="s">
        <v>375</v>
      </c>
      <c r="B10" s="11">
        <v>16</v>
      </c>
      <c r="C10" s="317">
        <v>6205297.76</v>
      </c>
      <c r="D10" s="320">
        <v>1221871</v>
      </c>
      <c r="E10" s="320">
        <v>19968629.44</v>
      </c>
      <c r="F10" s="320">
        <v>9769940.430000002</v>
      </c>
      <c r="G10" s="317">
        <v>25607.499999999996</v>
      </c>
      <c r="H10" s="317">
        <v>0</v>
      </c>
      <c r="I10" s="317">
        <v>4</v>
      </c>
      <c r="J10" s="321">
        <f t="shared" si="0"/>
        <v>37191350.13</v>
      </c>
      <c r="K10" s="320">
        <v>614290.09</v>
      </c>
      <c r="L10" s="320"/>
      <c r="M10" s="320"/>
      <c r="N10" s="320">
        <v>919965.26</v>
      </c>
      <c r="O10" s="320">
        <v>125073.02</v>
      </c>
      <c r="P10" s="321">
        <v>917.15</v>
      </c>
      <c r="Q10" s="321">
        <f t="shared" si="1"/>
        <v>1660245.52</v>
      </c>
      <c r="R10" s="319">
        <f t="shared" si="2"/>
        <v>38851595.650000006</v>
      </c>
    </row>
    <row r="11" spans="1:18" s="162" customFormat="1" ht="21.75">
      <c r="A11" s="144" t="s">
        <v>376</v>
      </c>
      <c r="B11" s="144">
        <v>17</v>
      </c>
      <c r="C11" s="317">
        <v>5957377.609999999</v>
      </c>
      <c r="D11" s="317">
        <v>508854.96</v>
      </c>
      <c r="E11" s="317">
        <v>652885.5800000001</v>
      </c>
      <c r="F11" s="317">
        <v>51682</v>
      </c>
      <c r="G11" s="317">
        <v>1911.6300000000003</v>
      </c>
      <c r="H11" s="317">
        <v>0</v>
      </c>
      <c r="I11" s="317">
        <v>1</v>
      </c>
      <c r="J11" s="319">
        <f t="shared" si="0"/>
        <v>7172712.779999999</v>
      </c>
      <c r="K11" s="317">
        <v>394900.77</v>
      </c>
      <c r="L11" s="320"/>
      <c r="M11" s="317"/>
      <c r="N11" s="317">
        <v>811734.05</v>
      </c>
      <c r="O11" s="317">
        <v>110358.55</v>
      </c>
      <c r="P11" s="321">
        <v>809.25</v>
      </c>
      <c r="Q11" s="319">
        <f t="shared" si="1"/>
        <v>1317802.62</v>
      </c>
      <c r="R11" s="319">
        <f t="shared" si="2"/>
        <v>8490515.399999999</v>
      </c>
    </row>
    <row r="12" spans="1:18" s="162" customFormat="1" ht="21.75">
      <c r="A12" s="144" t="s">
        <v>377</v>
      </c>
      <c r="B12" s="144">
        <v>18</v>
      </c>
      <c r="C12" s="317">
        <v>3739204.5599999996</v>
      </c>
      <c r="D12" s="317">
        <v>1557759.85</v>
      </c>
      <c r="E12" s="317">
        <v>4480381.59</v>
      </c>
      <c r="F12" s="317">
        <v>12992444.18</v>
      </c>
      <c r="G12" s="317">
        <v>1058.55</v>
      </c>
      <c r="H12" s="317">
        <v>0</v>
      </c>
      <c r="I12" s="317">
        <v>1</v>
      </c>
      <c r="J12" s="319">
        <f t="shared" si="0"/>
        <v>22770849.73</v>
      </c>
      <c r="K12" s="317">
        <v>219389.32</v>
      </c>
      <c r="L12" s="320"/>
      <c r="M12" s="317"/>
      <c r="N12" s="317">
        <v>595271.64</v>
      </c>
      <c r="O12" s="317">
        <v>80929.6</v>
      </c>
      <c r="P12" s="321">
        <v>593.44</v>
      </c>
      <c r="Q12" s="321">
        <f t="shared" si="1"/>
        <v>896183.9999999999</v>
      </c>
      <c r="R12" s="319">
        <f t="shared" si="2"/>
        <v>23667033.73</v>
      </c>
    </row>
    <row r="13" spans="1:18" s="162" customFormat="1" ht="21.75">
      <c r="A13" s="144" t="s">
        <v>370</v>
      </c>
      <c r="B13" s="144">
        <v>19</v>
      </c>
      <c r="C13" s="317">
        <v>7585410.42</v>
      </c>
      <c r="D13" s="317">
        <v>0</v>
      </c>
      <c r="E13" s="317">
        <v>0</v>
      </c>
      <c r="F13" s="319">
        <v>13493.910000000002</v>
      </c>
      <c r="G13" s="317">
        <v>0</v>
      </c>
      <c r="H13" s="317">
        <v>0</v>
      </c>
      <c r="I13" s="317">
        <v>0</v>
      </c>
      <c r="J13" s="319">
        <f t="shared" si="0"/>
        <v>7598904.33</v>
      </c>
      <c r="K13" s="317">
        <v>658167.96</v>
      </c>
      <c r="L13" s="320"/>
      <c r="M13" s="317"/>
      <c r="N13" s="317">
        <v>1028196.46</v>
      </c>
      <c r="O13" s="317">
        <v>139787.49</v>
      </c>
      <c r="P13" s="321">
        <v>1025.05</v>
      </c>
      <c r="Q13" s="321">
        <f t="shared" si="1"/>
        <v>1827176.96</v>
      </c>
      <c r="R13" s="319">
        <f t="shared" si="2"/>
        <v>9426081.29</v>
      </c>
    </row>
    <row r="14" spans="1:18" ht="21.75">
      <c r="A14" s="144" t="s">
        <v>371</v>
      </c>
      <c r="B14" s="11">
        <v>20</v>
      </c>
      <c r="C14" s="317">
        <v>10118848.389999999</v>
      </c>
      <c r="D14" s="317">
        <v>0</v>
      </c>
      <c r="E14" s="317">
        <v>0</v>
      </c>
      <c r="F14" s="320">
        <v>21606.48</v>
      </c>
      <c r="G14" s="317">
        <v>2058.01</v>
      </c>
      <c r="H14" s="317">
        <v>0</v>
      </c>
      <c r="I14" s="317">
        <v>1</v>
      </c>
      <c r="J14" s="321">
        <f t="shared" si="0"/>
        <v>10142513.879999999</v>
      </c>
      <c r="K14" s="320">
        <v>745923.69</v>
      </c>
      <c r="L14" s="320"/>
      <c r="M14" s="320"/>
      <c r="N14" s="320">
        <v>1244658.87</v>
      </c>
      <c r="O14" s="320">
        <v>169216.44</v>
      </c>
      <c r="P14" s="321">
        <v>1240.84</v>
      </c>
      <c r="Q14" s="321">
        <f t="shared" si="1"/>
        <v>2161039.84</v>
      </c>
      <c r="R14" s="319">
        <f t="shared" si="2"/>
        <v>12303553.719999999</v>
      </c>
    </row>
    <row r="15" spans="1:18" ht="21.75">
      <c r="A15" s="144" t="s">
        <v>372</v>
      </c>
      <c r="B15" s="11">
        <v>21</v>
      </c>
      <c r="C15" s="317">
        <v>9005574.75</v>
      </c>
      <c r="D15" s="317">
        <v>0</v>
      </c>
      <c r="E15" s="317">
        <v>0</v>
      </c>
      <c r="F15" s="320">
        <v>12860.869999999999</v>
      </c>
      <c r="G15" s="317">
        <v>7106.01</v>
      </c>
      <c r="H15" s="317">
        <v>0</v>
      </c>
      <c r="I15" s="317">
        <v>1</v>
      </c>
      <c r="J15" s="321">
        <f t="shared" si="0"/>
        <v>9025542.629999999</v>
      </c>
      <c r="K15" s="320">
        <v>745923.69</v>
      </c>
      <c r="L15" s="320"/>
      <c r="M15" s="320"/>
      <c r="N15" s="320">
        <v>1190543.27</v>
      </c>
      <c r="O15" s="320">
        <v>161859.2</v>
      </c>
      <c r="P15" s="321">
        <v>1186.89</v>
      </c>
      <c r="Q15" s="321">
        <f t="shared" si="1"/>
        <v>2099513.0500000003</v>
      </c>
      <c r="R15" s="319">
        <f t="shared" si="2"/>
        <v>11125055.68</v>
      </c>
    </row>
    <row r="16" spans="1:18" ht="21.75">
      <c r="A16" s="144" t="s">
        <v>373</v>
      </c>
      <c r="B16" s="11">
        <v>22</v>
      </c>
      <c r="C16" s="317">
        <v>7573270.169999999</v>
      </c>
      <c r="D16" s="317">
        <v>0</v>
      </c>
      <c r="E16" s="317">
        <v>0</v>
      </c>
      <c r="F16" s="320">
        <v>15782.5</v>
      </c>
      <c r="G16" s="317">
        <v>2578.96</v>
      </c>
      <c r="H16" s="317">
        <v>0</v>
      </c>
      <c r="I16" s="317">
        <v>2</v>
      </c>
      <c r="J16" s="321">
        <f t="shared" si="0"/>
        <v>7591633.629999999</v>
      </c>
      <c r="K16" s="321">
        <v>702045.82</v>
      </c>
      <c r="L16" s="320"/>
      <c r="M16" s="320"/>
      <c r="N16" s="320">
        <v>811734.05</v>
      </c>
      <c r="O16" s="321">
        <v>164292.85</v>
      </c>
      <c r="P16" s="321">
        <v>809.24</v>
      </c>
      <c r="Q16" s="321">
        <f t="shared" si="1"/>
        <v>1678881.9600000002</v>
      </c>
      <c r="R16" s="319">
        <f t="shared" si="2"/>
        <v>9270515.59</v>
      </c>
    </row>
    <row r="17" spans="1:18" ht="21.75">
      <c r="A17" s="144" t="s">
        <v>374</v>
      </c>
      <c r="B17" s="11">
        <v>44</v>
      </c>
      <c r="C17" s="317">
        <v>5267753.95</v>
      </c>
      <c r="D17" s="317">
        <v>0</v>
      </c>
      <c r="E17" s="317">
        <v>0</v>
      </c>
      <c r="F17" s="320">
        <v>39326.95</v>
      </c>
      <c r="G17" s="317">
        <v>23888.509999999995</v>
      </c>
      <c r="H17" s="317">
        <v>0</v>
      </c>
      <c r="I17" s="317">
        <v>0</v>
      </c>
      <c r="J17" s="321">
        <f t="shared" si="0"/>
        <v>5330969.41</v>
      </c>
      <c r="K17" s="321">
        <v>614290.09</v>
      </c>
      <c r="L17" s="320"/>
      <c r="M17" s="320"/>
      <c r="N17" s="320">
        <v>919965.26</v>
      </c>
      <c r="O17" s="321">
        <v>71138.72</v>
      </c>
      <c r="P17" s="321">
        <v>917.14</v>
      </c>
      <c r="Q17" s="321">
        <f t="shared" si="1"/>
        <v>1606311.21</v>
      </c>
      <c r="R17" s="319">
        <f t="shared" si="2"/>
        <v>6937280.62</v>
      </c>
    </row>
    <row r="18" spans="1:18" ht="21.75">
      <c r="A18" s="144" t="s">
        <v>105</v>
      </c>
      <c r="B18" s="11">
        <v>23</v>
      </c>
      <c r="C18" s="317">
        <v>4170755.0100000002</v>
      </c>
      <c r="D18" s="320">
        <v>542731.11</v>
      </c>
      <c r="E18" s="320">
        <v>551379.88</v>
      </c>
      <c r="F18" s="320">
        <v>1819670.5899999999</v>
      </c>
      <c r="G18" s="317">
        <v>9091.740000000002</v>
      </c>
      <c r="H18" s="317">
        <v>0</v>
      </c>
      <c r="I18" s="317">
        <v>0</v>
      </c>
      <c r="J18" s="321">
        <f t="shared" si="0"/>
        <v>7093628.33</v>
      </c>
      <c r="K18" s="321">
        <v>175511.46</v>
      </c>
      <c r="L18" s="320"/>
      <c r="M18" s="321"/>
      <c r="N18" s="321">
        <v>0</v>
      </c>
      <c r="O18" s="321">
        <v>0</v>
      </c>
      <c r="P18" s="321">
        <v>0</v>
      </c>
      <c r="Q18" s="321">
        <f t="shared" si="1"/>
        <v>175511.46</v>
      </c>
      <c r="R18" s="319">
        <f t="shared" si="2"/>
        <v>7269139.79</v>
      </c>
    </row>
    <row r="19" spans="1:18" ht="21.75">
      <c r="A19" s="144" t="s">
        <v>121</v>
      </c>
      <c r="B19" s="11">
        <v>24</v>
      </c>
      <c r="C19" s="317">
        <v>1328927.87</v>
      </c>
      <c r="D19" s="320">
        <v>212011.5</v>
      </c>
      <c r="E19" s="320">
        <v>114595.65</v>
      </c>
      <c r="F19" s="320">
        <v>792167.37</v>
      </c>
      <c r="G19" s="317">
        <v>11626.799999999997</v>
      </c>
      <c r="H19" s="317">
        <v>0</v>
      </c>
      <c r="I19" s="317">
        <v>0</v>
      </c>
      <c r="J19" s="321">
        <f t="shared" si="0"/>
        <v>2459329.19</v>
      </c>
      <c r="K19" s="321">
        <v>87755.73</v>
      </c>
      <c r="L19" s="320"/>
      <c r="M19" s="321"/>
      <c r="N19" s="321">
        <v>0</v>
      </c>
      <c r="O19" s="321">
        <v>0</v>
      </c>
      <c r="P19" s="321">
        <v>0</v>
      </c>
      <c r="Q19" s="321">
        <f t="shared" si="1"/>
        <v>87755.73</v>
      </c>
      <c r="R19" s="319">
        <f t="shared" si="2"/>
        <v>2547084.92</v>
      </c>
    </row>
    <row r="20" spans="1:18" ht="21.75">
      <c r="A20" s="144" t="s">
        <v>106</v>
      </c>
      <c r="B20" s="11">
        <v>25</v>
      </c>
      <c r="C20" s="317">
        <v>4714211</v>
      </c>
      <c r="D20" s="320">
        <v>612855.8200000001</v>
      </c>
      <c r="E20" s="320">
        <v>365540.6</v>
      </c>
      <c r="F20" s="320">
        <v>940599.0299999999</v>
      </c>
      <c r="G20" s="317">
        <v>773364.4500000001</v>
      </c>
      <c r="H20" s="317">
        <v>0</v>
      </c>
      <c r="I20" s="317">
        <v>0</v>
      </c>
      <c r="J20" s="321">
        <f t="shared" si="0"/>
        <v>7406570.9</v>
      </c>
      <c r="K20" s="321">
        <v>219389.32</v>
      </c>
      <c r="L20" s="320"/>
      <c r="M20" s="321"/>
      <c r="N20" s="321">
        <v>0</v>
      </c>
      <c r="O20" s="321">
        <v>0</v>
      </c>
      <c r="P20" s="321">
        <v>0</v>
      </c>
      <c r="Q20" s="321">
        <f t="shared" si="1"/>
        <v>219389.32</v>
      </c>
      <c r="R20" s="319">
        <f t="shared" si="2"/>
        <v>7625960.220000001</v>
      </c>
    </row>
    <row r="21" spans="1:18" ht="21.75">
      <c r="A21" s="144" t="s">
        <v>122</v>
      </c>
      <c r="B21" s="11">
        <v>26</v>
      </c>
      <c r="C21" s="317">
        <v>2573303</v>
      </c>
      <c r="D21" s="320">
        <v>390221.06</v>
      </c>
      <c r="E21" s="320">
        <v>180981.09999999998</v>
      </c>
      <c r="F21" s="320">
        <v>1130142.99</v>
      </c>
      <c r="G21" s="317">
        <v>36278.969999999994</v>
      </c>
      <c r="H21" s="317">
        <v>0</v>
      </c>
      <c r="I21" s="317">
        <v>0</v>
      </c>
      <c r="J21" s="321">
        <f t="shared" si="0"/>
        <v>4310927.12</v>
      </c>
      <c r="K21" s="321">
        <v>131633.59</v>
      </c>
      <c r="L21" s="320"/>
      <c r="M21" s="321"/>
      <c r="N21" s="321">
        <v>0</v>
      </c>
      <c r="O21" s="321">
        <v>0</v>
      </c>
      <c r="P21" s="321">
        <v>0</v>
      </c>
      <c r="Q21" s="321">
        <f t="shared" si="1"/>
        <v>131633.59</v>
      </c>
      <c r="R21" s="319">
        <f t="shared" si="2"/>
        <v>4442560.71</v>
      </c>
    </row>
    <row r="22" spans="1:18" ht="21.75">
      <c r="A22" s="144" t="s">
        <v>123</v>
      </c>
      <c r="B22" s="11">
        <v>27</v>
      </c>
      <c r="C22" s="317">
        <v>6822213.74</v>
      </c>
      <c r="D22" s="320">
        <v>696485</v>
      </c>
      <c r="E22" s="320">
        <v>502856.79000000004</v>
      </c>
      <c r="F22" s="320">
        <v>2933490.59</v>
      </c>
      <c r="G22" s="317">
        <v>3405250.1299999994</v>
      </c>
      <c r="H22" s="317">
        <v>0</v>
      </c>
      <c r="I22" s="317">
        <v>1</v>
      </c>
      <c r="J22" s="321">
        <f t="shared" si="0"/>
        <v>14360297.25</v>
      </c>
      <c r="K22" s="321">
        <v>438778.64</v>
      </c>
      <c r="L22" s="320"/>
      <c r="M22" s="321"/>
      <c r="N22" s="321">
        <v>0</v>
      </c>
      <c r="O22" s="321">
        <v>0</v>
      </c>
      <c r="P22" s="321">
        <v>0</v>
      </c>
      <c r="Q22" s="321">
        <f t="shared" si="1"/>
        <v>438778.64</v>
      </c>
      <c r="R22" s="319">
        <f t="shared" si="2"/>
        <v>14799075.89</v>
      </c>
    </row>
    <row r="23" spans="1:18" ht="21.75">
      <c r="A23" s="144" t="s">
        <v>107</v>
      </c>
      <c r="B23" s="11">
        <v>28</v>
      </c>
      <c r="C23" s="317">
        <v>2674802.1</v>
      </c>
      <c r="D23" s="320">
        <v>522993</v>
      </c>
      <c r="E23" s="320">
        <v>185280.5</v>
      </c>
      <c r="F23" s="320">
        <v>1443617.28</v>
      </c>
      <c r="G23" s="317">
        <v>185645.18000000005</v>
      </c>
      <c r="H23" s="317">
        <v>0</v>
      </c>
      <c r="I23" s="317">
        <v>0</v>
      </c>
      <c r="J23" s="321">
        <f t="shared" si="0"/>
        <v>5012338.06</v>
      </c>
      <c r="K23" s="321">
        <v>219389.32</v>
      </c>
      <c r="L23" s="320"/>
      <c r="M23" s="321"/>
      <c r="N23" s="321">
        <v>0</v>
      </c>
      <c r="O23" s="321">
        <v>0</v>
      </c>
      <c r="P23" s="321">
        <v>0</v>
      </c>
      <c r="Q23" s="321">
        <f t="shared" si="1"/>
        <v>219389.32</v>
      </c>
      <c r="R23" s="319">
        <f t="shared" si="2"/>
        <v>5231727.38</v>
      </c>
    </row>
    <row r="24" spans="1:18" ht="21.75">
      <c r="A24" s="144" t="s">
        <v>124</v>
      </c>
      <c r="B24" s="11">
        <v>29</v>
      </c>
      <c r="C24" s="317">
        <v>3104991.8400000003</v>
      </c>
      <c r="D24" s="320">
        <v>842422.74</v>
      </c>
      <c r="E24" s="320">
        <v>539868.98</v>
      </c>
      <c r="F24" s="320">
        <v>1172134.0899999999</v>
      </c>
      <c r="G24" s="317">
        <v>76472.58</v>
      </c>
      <c r="H24" s="317">
        <v>0</v>
      </c>
      <c r="I24" s="317">
        <v>2</v>
      </c>
      <c r="J24" s="321">
        <f t="shared" si="0"/>
        <v>5735892.23</v>
      </c>
      <c r="K24" s="320">
        <v>175511.46</v>
      </c>
      <c r="L24" s="320"/>
      <c r="M24" s="321"/>
      <c r="N24" s="321">
        <v>0</v>
      </c>
      <c r="O24" s="321">
        <v>0</v>
      </c>
      <c r="P24" s="321">
        <v>0</v>
      </c>
      <c r="Q24" s="321">
        <f t="shared" si="1"/>
        <v>175511.46</v>
      </c>
      <c r="R24" s="319">
        <f t="shared" si="2"/>
        <v>5911403.69</v>
      </c>
    </row>
    <row r="25" spans="1:18" ht="21.75">
      <c r="A25" s="11" t="s">
        <v>231</v>
      </c>
      <c r="B25" s="11">
        <v>30</v>
      </c>
      <c r="C25" s="317">
        <v>11844746.13</v>
      </c>
      <c r="D25" s="320">
        <v>0</v>
      </c>
      <c r="E25" s="320">
        <v>5709726.49</v>
      </c>
      <c r="F25" s="320">
        <v>18702488.89</v>
      </c>
      <c r="G25" s="319">
        <v>606614.03</v>
      </c>
      <c r="H25" s="317">
        <v>1199024.93</v>
      </c>
      <c r="I25" s="319">
        <v>0</v>
      </c>
      <c r="J25" s="321">
        <f t="shared" si="0"/>
        <v>38062600.470000006</v>
      </c>
      <c r="K25" s="321">
        <v>0</v>
      </c>
      <c r="L25" s="320"/>
      <c r="M25" s="321"/>
      <c r="N25" s="321">
        <v>0</v>
      </c>
      <c r="O25" s="321">
        <v>0</v>
      </c>
      <c r="P25" s="321">
        <v>0</v>
      </c>
      <c r="Q25" s="321">
        <f t="shared" si="1"/>
        <v>0</v>
      </c>
      <c r="R25" s="319">
        <f t="shared" si="2"/>
        <v>38062600.470000006</v>
      </c>
    </row>
    <row r="26" spans="1:18" s="163" customFormat="1" ht="21.75" customHeight="1">
      <c r="A26" s="161" t="s">
        <v>125</v>
      </c>
      <c r="B26" s="161">
        <v>31</v>
      </c>
      <c r="C26" s="319">
        <v>5241297.400000001</v>
      </c>
      <c r="D26" s="321">
        <v>336039.08</v>
      </c>
      <c r="E26" s="321">
        <v>1893280.32</v>
      </c>
      <c r="F26" s="321">
        <v>4177472.7000000007</v>
      </c>
      <c r="G26" s="319">
        <v>334313.06</v>
      </c>
      <c r="H26" s="317">
        <v>332222.11</v>
      </c>
      <c r="I26" s="319">
        <v>0</v>
      </c>
      <c r="J26" s="321">
        <f t="shared" si="0"/>
        <v>12314624.670000002</v>
      </c>
      <c r="K26" s="321">
        <v>0</v>
      </c>
      <c r="L26" s="320"/>
      <c r="M26" s="321"/>
      <c r="N26" s="321">
        <v>0</v>
      </c>
      <c r="O26" s="321">
        <v>0</v>
      </c>
      <c r="P26" s="321">
        <v>0</v>
      </c>
      <c r="Q26" s="321">
        <f t="shared" si="1"/>
        <v>0</v>
      </c>
      <c r="R26" s="319">
        <f t="shared" si="2"/>
        <v>12314624.670000002</v>
      </c>
    </row>
    <row r="27" spans="1:18" s="163" customFormat="1" ht="21.75">
      <c r="A27" s="161" t="s">
        <v>126</v>
      </c>
      <c r="B27" s="161">
        <v>32</v>
      </c>
      <c r="C27" s="319">
        <v>9169495.61</v>
      </c>
      <c r="D27" s="321">
        <v>0</v>
      </c>
      <c r="E27" s="321">
        <v>5192885.18</v>
      </c>
      <c r="F27" s="321">
        <v>15796129.14</v>
      </c>
      <c r="G27" s="319">
        <v>533353.1500000001</v>
      </c>
      <c r="H27" s="319">
        <v>81896.11</v>
      </c>
      <c r="I27" s="319">
        <v>0</v>
      </c>
      <c r="J27" s="321">
        <f t="shared" si="0"/>
        <v>30773759.189999998</v>
      </c>
      <c r="K27" s="321">
        <v>0</v>
      </c>
      <c r="L27" s="320"/>
      <c r="M27" s="321"/>
      <c r="N27" s="321">
        <v>0</v>
      </c>
      <c r="O27" s="321">
        <v>0</v>
      </c>
      <c r="P27" s="321">
        <v>0</v>
      </c>
      <c r="Q27" s="321">
        <f t="shared" si="1"/>
        <v>0</v>
      </c>
      <c r="R27" s="319">
        <f t="shared" si="2"/>
        <v>30773759.189999998</v>
      </c>
    </row>
    <row r="28" spans="1:18" ht="21.75">
      <c r="A28" s="11" t="s">
        <v>127</v>
      </c>
      <c r="B28" s="11">
        <v>33</v>
      </c>
      <c r="C28" s="317">
        <v>13111438.280000001</v>
      </c>
      <c r="D28" s="320">
        <v>2257974.4000000004</v>
      </c>
      <c r="E28" s="320">
        <v>3611760.64</v>
      </c>
      <c r="F28" s="320">
        <v>5285987.55</v>
      </c>
      <c r="G28" s="319">
        <v>473687.7099999999</v>
      </c>
      <c r="H28" s="319">
        <v>118751.94</v>
      </c>
      <c r="I28" s="319">
        <v>0</v>
      </c>
      <c r="J28" s="321">
        <f t="shared" si="0"/>
        <v>24859600.520000003</v>
      </c>
      <c r="K28" s="321">
        <v>0</v>
      </c>
      <c r="L28" s="320"/>
      <c r="M28" s="321"/>
      <c r="N28" s="321">
        <v>0</v>
      </c>
      <c r="O28" s="321">
        <v>0</v>
      </c>
      <c r="P28" s="321">
        <v>0</v>
      </c>
      <c r="Q28" s="321">
        <f t="shared" si="1"/>
        <v>0</v>
      </c>
      <c r="R28" s="319">
        <f t="shared" si="2"/>
        <v>24859600.520000003</v>
      </c>
    </row>
    <row r="29" spans="1:18" ht="21.75" customHeight="1">
      <c r="A29" s="11" t="s">
        <v>128</v>
      </c>
      <c r="B29" s="11">
        <v>34</v>
      </c>
      <c r="C29" s="317">
        <v>14472233.869999997</v>
      </c>
      <c r="D29" s="320">
        <v>2444386.4699999997</v>
      </c>
      <c r="E29" s="320">
        <v>4251904.75</v>
      </c>
      <c r="F29" s="320">
        <v>8040642.260000001</v>
      </c>
      <c r="G29" s="317">
        <v>544937.2</v>
      </c>
      <c r="H29" s="317">
        <v>205645.67</v>
      </c>
      <c r="I29" s="319">
        <v>0</v>
      </c>
      <c r="J29" s="321">
        <f t="shared" si="0"/>
        <v>29959750.22</v>
      </c>
      <c r="K29" s="321">
        <v>0</v>
      </c>
      <c r="L29" s="320"/>
      <c r="M29" s="321"/>
      <c r="N29" s="321">
        <v>0</v>
      </c>
      <c r="O29" s="321">
        <v>0</v>
      </c>
      <c r="P29" s="321">
        <v>0</v>
      </c>
      <c r="Q29" s="321">
        <f t="shared" si="1"/>
        <v>0</v>
      </c>
      <c r="R29" s="319">
        <f t="shared" si="2"/>
        <v>29959750.22</v>
      </c>
    </row>
    <row r="30" spans="1:18" s="163" customFormat="1" ht="21.75" customHeight="1">
      <c r="A30" s="161" t="s">
        <v>129</v>
      </c>
      <c r="B30" s="161">
        <v>35</v>
      </c>
      <c r="C30" s="319">
        <v>6864108.86</v>
      </c>
      <c r="D30" s="321">
        <v>645287.6000000001</v>
      </c>
      <c r="E30" s="321">
        <v>1865239.3800000001</v>
      </c>
      <c r="F30" s="321">
        <v>6336041.09</v>
      </c>
      <c r="G30" s="319">
        <v>35782.33</v>
      </c>
      <c r="H30" s="319">
        <v>69161.69</v>
      </c>
      <c r="I30" s="319">
        <v>0</v>
      </c>
      <c r="J30" s="321">
        <f t="shared" si="0"/>
        <v>15815620.950000001</v>
      </c>
      <c r="K30" s="321">
        <v>0</v>
      </c>
      <c r="L30" s="320"/>
      <c r="M30" s="321"/>
      <c r="N30" s="321">
        <v>0</v>
      </c>
      <c r="O30" s="321">
        <v>0</v>
      </c>
      <c r="P30" s="321">
        <v>0</v>
      </c>
      <c r="Q30" s="321">
        <f t="shared" si="1"/>
        <v>0</v>
      </c>
      <c r="R30" s="319">
        <f t="shared" si="2"/>
        <v>15815620.950000001</v>
      </c>
    </row>
    <row r="31" spans="1:18" ht="21.75">
      <c r="A31" s="11" t="s">
        <v>130</v>
      </c>
      <c r="B31" s="11">
        <v>36</v>
      </c>
      <c r="C31" s="317">
        <v>13432874.79</v>
      </c>
      <c r="D31" s="320">
        <v>1144627.4600000002</v>
      </c>
      <c r="E31" s="320">
        <v>1541151.33</v>
      </c>
      <c r="F31" s="320">
        <v>9062582.34</v>
      </c>
      <c r="G31" s="317">
        <v>454931.68000000005</v>
      </c>
      <c r="H31" s="317">
        <v>174006.19</v>
      </c>
      <c r="I31" s="319">
        <v>2</v>
      </c>
      <c r="J31" s="321">
        <f t="shared" si="0"/>
        <v>25810175.790000003</v>
      </c>
      <c r="K31" s="321">
        <v>0</v>
      </c>
      <c r="L31" s="320"/>
      <c r="M31" s="321"/>
      <c r="N31" s="321">
        <v>0</v>
      </c>
      <c r="O31" s="321">
        <v>0</v>
      </c>
      <c r="P31" s="321">
        <v>0</v>
      </c>
      <c r="Q31" s="321">
        <f t="shared" si="1"/>
        <v>0</v>
      </c>
      <c r="R31" s="319">
        <f t="shared" si="2"/>
        <v>25810175.790000003</v>
      </c>
    </row>
    <row r="32" spans="1:18" ht="21.75">
      <c r="A32" s="11" t="s">
        <v>131</v>
      </c>
      <c r="B32" s="11">
        <v>37</v>
      </c>
      <c r="C32" s="317">
        <v>5869178.89</v>
      </c>
      <c r="D32" s="320">
        <v>440566.39999999997</v>
      </c>
      <c r="E32" s="320">
        <v>1029283.3200000001</v>
      </c>
      <c r="F32" s="320">
        <v>4313809.75</v>
      </c>
      <c r="G32" s="317">
        <v>29529.89</v>
      </c>
      <c r="H32" s="317">
        <v>161980.38</v>
      </c>
      <c r="I32" s="319">
        <v>0</v>
      </c>
      <c r="J32" s="321">
        <f t="shared" si="0"/>
        <v>11844348.63</v>
      </c>
      <c r="K32" s="321">
        <v>0</v>
      </c>
      <c r="L32" s="320"/>
      <c r="M32" s="321"/>
      <c r="N32" s="321">
        <v>0</v>
      </c>
      <c r="O32" s="321">
        <v>0</v>
      </c>
      <c r="P32" s="321">
        <v>0</v>
      </c>
      <c r="Q32" s="321">
        <f t="shared" si="1"/>
        <v>0</v>
      </c>
      <c r="R32" s="319">
        <f t="shared" si="2"/>
        <v>11844348.63</v>
      </c>
    </row>
    <row r="33" spans="1:18" ht="21.75">
      <c r="A33" s="11" t="s">
        <v>132</v>
      </c>
      <c r="B33" s="11">
        <v>38</v>
      </c>
      <c r="C33" s="317">
        <v>6163303.47</v>
      </c>
      <c r="D33" s="320">
        <v>297847.89</v>
      </c>
      <c r="E33" s="320">
        <v>737768.3600000001</v>
      </c>
      <c r="F33" s="320">
        <v>4623423.27</v>
      </c>
      <c r="G33" s="317">
        <v>44095.4</v>
      </c>
      <c r="H33" s="317">
        <v>41311.33</v>
      </c>
      <c r="I33" s="319">
        <v>0</v>
      </c>
      <c r="J33" s="321">
        <f t="shared" si="0"/>
        <v>11907749.719999999</v>
      </c>
      <c r="K33" s="321">
        <v>0</v>
      </c>
      <c r="L33" s="320"/>
      <c r="M33" s="321"/>
      <c r="N33" s="321">
        <v>0</v>
      </c>
      <c r="O33" s="321">
        <v>0</v>
      </c>
      <c r="P33" s="321">
        <v>0</v>
      </c>
      <c r="Q33" s="321">
        <f t="shared" si="1"/>
        <v>0</v>
      </c>
      <c r="R33" s="319">
        <f t="shared" si="2"/>
        <v>11907749.719999999</v>
      </c>
    </row>
    <row r="34" spans="1:18" ht="21.75">
      <c r="A34" s="161" t="s">
        <v>133</v>
      </c>
      <c r="B34" s="161">
        <v>39</v>
      </c>
      <c r="C34" s="317">
        <v>4780659.790000001</v>
      </c>
      <c r="D34" s="320">
        <v>43753.79</v>
      </c>
      <c r="E34" s="320">
        <v>671053.79</v>
      </c>
      <c r="F34" s="320">
        <v>3901133.55</v>
      </c>
      <c r="G34" s="317">
        <v>26751.099999999995</v>
      </c>
      <c r="H34" s="317">
        <v>81689.46</v>
      </c>
      <c r="I34" s="319">
        <v>0</v>
      </c>
      <c r="J34" s="321">
        <f t="shared" si="0"/>
        <v>9505041.480000002</v>
      </c>
      <c r="K34" s="321">
        <v>0</v>
      </c>
      <c r="L34" s="320"/>
      <c r="M34" s="321"/>
      <c r="N34" s="321">
        <v>0</v>
      </c>
      <c r="O34" s="321">
        <v>0</v>
      </c>
      <c r="P34" s="321">
        <v>0</v>
      </c>
      <c r="Q34" s="321">
        <f t="shared" si="1"/>
        <v>0</v>
      </c>
      <c r="R34" s="319">
        <f t="shared" si="2"/>
        <v>9505041.480000002</v>
      </c>
    </row>
    <row r="35" spans="1:18" ht="21.75">
      <c r="A35" s="11" t="s">
        <v>120</v>
      </c>
      <c r="B35" s="11">
        <v>40</v>
      </c>
      <c r="C35" s="317">
        <v>5586053.61</v>
      </c>
      <c r="D35" s="320">
        <v>532706.95</v>
      </c>
      <c r="E35" s="320">
        <v>1415366.7100000002</v>
      </c>
      <c r="F35" s="320">
        <v>9184403.84</v>
      </c>
      <c r="G35" s="317">
        <v>14456.920000000002</v>
      </c>
      <c r="H35" s="317">
        <v>95792.33</v>
      </c>
      <c r="I35" s="319">
        <v>0</v>
      </c>
      <c r="J35" s="321">
        <f t="shared" si="0"/>
        <v>16828780.36</v>
      </c>
      <c r="K35" s="321">
        <v>0</v>
      </c>
      <c r="L35" s="320"/>
      <c r="M35" s="321"/>
      <c r="N35" s="321">
        <v>0</v>
      </c>
      <c r="O35" s="321">
        <v>0</v>
      </c>
      <c r="P35" s="321">
        <v>0</v>
      </c>
      <c r="Q35" s="321">
        <f t="shared" si="1"/>
        <v>0</v>
      </c>
      <c r="R35" s="319">
        <f t="shared" si="2"/>
        <v>16828780.36</v>
      </c>
    </row>
    <row r="36" spans="1:18" s="163" customFormat="1" ht="21.75">
      <c r="A36" s="161" t="s">
        <v>136</v>
      </c>
      <c r="B36" s="161">
        <v>41</v>
      </c>
      <c r="C36" s="319">
        <v>5874059.83</v>
      </c>
      <c r="D36" s="321">
        <v>277869.36</v>
      </c>
      <c r="E36" s="321">
        <v>513114.31</v>
      </c>
      <c r="F36" s="321">
        <v>6745738.9799999995</v>
      </c>
      <c r="G36" s="319">
        <v>263875.26</v>
      </c>
      <c r="H36" s="319">
        <v>206234.04</v>
      </c>
      <c r="I36" s="319">
        <v>0</v>
      </c>
      <c r="J36" s="321">
        <f t="shared" si="0"/>
        <v>13880891.78</v>
      </c>
      <c r="K36" s="321">
        <v>0</v>
      </c>
      <c r="L36" s="320"/>
      <c r="M36" s="321"/>
      <c r="N36" s="321">
        <v>0</v>
      </c>
      <c r="O36" s="321">
        <v>0</v>
      </c>
      <c r="P36" s="321">
        <v>0</v>
      </c>
      <c r="Q36" s="321">
        <f t="shared" si="1"/>
        <v>0</v>
      </c>
      <c r="R36" s="319">
        <f t="shared" si="2"/>
        <v>13880891.78</v>
      </c>
    </row>
    <row r="37" spans="1:18" ht="21.75">
      <c r="A37" s="11" t="s">
        <v>134</v>
      </c>
      <c r="B37" s="11">
        <v>42</v>
      </c>
      <c r="C37" s="317">
        <v>4929036.720000001</v>
      </c>
      <c r="D37" s="320">
        <v>270602.10000000003</v>
      </c>
      <c r="E37" s="320">
        <v>1039246.8</v>
      </c>
      <c r="F37" s="320">
        <v>4884930.350000001</v>
      </c>
      <c r="G37" s="317">
        <v>301612.21</v>
      </c>
      <c r="H37" s="317">
        <v>418514.91</v>
      </c>
      <c r="I37" s="319">
        <v>0</v>
      </c>
      <c r="J37" s="321">
        <f t="shared" si="0"/>
        <v>11843943.090000002</v>
      </c>
      <c r="K37" s="321">
        <v>0</v>
      </c>
      <c r="L37" s="320"/>
      <c r="M37" s="321"/>
      <c r="N37" s="321">
        <v>0</v>
      </c>
      <c r="O37" s="321">
        <v>0</v>
      </c>
      <c r="P37" s="321">
        <v>0</v>
      </c>
      <c r="Q37" s="321">
        <f t="shared" si="1"/>
        <v>0</v>
      </c>
      <c r="R37" s="319">
        <f t="shared" si="2"/>
        <v>11843943.090000002</v>
      </c>
    </row>
    <row r="38" spans="1:18" ht="21.75">
      <c r="A38" s="11" t="s">
        <v>135</v>
      </c>
      <c r="B38" s="204">
        <v>43</v>
      </c>
      <c r="C38" s="322">
        <v>4390613.379999999</v>
      </c>
      <c r="D38" s="320">
        <v>74218.39</v>
      </c>
      <c r="E38" s="320">
        <v>1711998.48</v>
      </c>
      <c r="F38" s="320">
        <v>3420033.3000000003</v>
      </c>
      <c r="G38" s="317">
        <v>311951.77</v>
      </c>
      <c r="H38" s="317">
        <v>16240.7</v>
      </c>
      <c r="I38" s="319">
        <v>5585.4</v>
      </c>
      <c r="J38" s="321">
        <f t="shared" si="0"/>
        <v>9930641.419999998</v>
      </c>
      <c r="K38" s="321">
        <v>0</v>
      </c>
      <c r="L38" s="320"/>
      <c r="M38" s="321"/>
      <c r="N38" s="321">
        <v>0</v>
      </c>
      <c r="O38" s="321">
        <v>0</v>
      </c>
      <c r="P38" s="321">
        <v>0</v>
      </c>
      <c r="Q38" s="321">
        <f>SUM(K38:P38)</f>
        <v>0</v>
      </c>
      <c r="R38" s="319">
        <f t="shared" si="2"/>
        <v>9930641.419999998</v>
      </c>
    </row>
    <row r="39" spans="1:18" ht="21.75">
      <c r="A39" s="12" t="s">
        <v>33</v>
      </c>
      <c r="B39" s="12"/>
      <c r="C39" s="323"/>
      <c r="D39" s="321"/>
      <c r="E39" s="321"/>
      <c r="F39" s="321"/>
      <c r="G39" s="319"/>
      <c r="H39" s="319"/>
      <c r="I39" s="319"/>
      <c r="J39" s="321"/>
      <c r="K39" s="321"/>
      <c r="L39" s="321"/>
      <c r="M39" s="321"/>
      <c r="N39" s="321"/>
      <c r="O39" s="321"/>
      <c r="P39" s="321"/>
      <c r="Q39" s="321"/>
      <c r="R39" s="319"/>
    </row>
    <row r="40" spans="1:18" s="162" customFormat="1" ht="21.75">
      <c r="A40" s="144" t="s">
        <v>115</v>
      </c>
      <c r="B40" s="205" t="s">
        <v>235</v>
      </c>
      <c r="C40" s="317">
        <v>1999487</v>
      </c>
      <c r="D40" s="317">
        <v>35000</v>
      </c>
      <c r="E40" s="317">
        <v>15347.4</v>
      </c>
      <c r="F40" s="317">
        <v>0</v>
      </c>
      <c r="G40" s="317">
        <v>0</v>
      </c>
      <c r="H40" s="317">
        <v>0</v>
      </c>
      <c r="I40" s="319">
        <v>1</v>
      </c>
      <c r="J40" s="319">
        <f aca="true" t="shared" si="3" ref="J40:J50">SUM(C40:I40)</f>
        <v>2049835.4</v>
      </c>
      <c r="K40" s="317">
        <v>131633.59</v>
      </c>
      <c r="L40" s="317"/>
      <c r="M40" s="317"/>
      <c r="N40" s="317">
        <v>216462.41</v>
      </c>
      <c r="O40" s="317">
        <v>29428.95</v>
      </c>
      <c r="P40" s="317">
        <v>215.8</v>
      </c>
      <c r="Q40" s="319">
        <f>SUM(K40:P40)</f>
        <v>377740.75</v>
      </c>
      <c r="R40" s="319">
        <f aca="true" t="shared" si="4" ref="R40:R50">J40+Q40</f>
        <v>2427576.15</v>
      </c>
    </row>
    <row r="41" spans="1:18" ht="21.75">
      <c r="A41" s="11" t="s">
        <v>114</v>
      </c>
      <c r="B41" s="206" t="s">
        <v>236</v>
      </c>
      <c r="C41" s="317">
        <v>3303728</v>
      </c>
      <c r="D41" s="320">
        <v>429386.54</v>
      </c>
      <c r="E41" s="320">
        <v>34946.03</v>
      </c>
      <c r="F41" s="320">
        <v>126874.59999999999</v>
      </c>
      <c r="G41" s="317">
        <v>1188.02</v>
      </c>
      <c r="H41" s="317">
        <v>0</v>
      </c>
      <c r="I41" s="317">
        <v>1</v>
      </c>
      <c r="J41" s="321">
        <f t="shared" si="3"/>
        <v>3896124.19</v>
      </c>
      <c r="K41" s="320">
        <v>219389.32</v>
      </c>
      <c r="L41" s="317"/>
      <c r="M41" s="320"/>
      <c r="N41" s="320">
        <v>432924.83</v>
      </c>
      <c r="O41" s="320">
        <v>58857.89</v>
      </c>
      <c r="P41" s="317">
        <v>431.6</v>
      </c>
      <c r="Q41" s="321">
        <f aca="true" t="shared" si="5" ref="Q41:Q50">SUM(K41:P41)</f>
        <v>711603.64</v>
      </c>
      <c r="R41" s="319">
        <f t="shared" si="4"/>
        <v>4607727.83</v>
      </c>
    </row>
    <row r="42" spans="1:18" ht="21.75">
      <c r="A42" s="11" t="s">
        <v>450</v>
      </c>
      <c r="B42" s="206" t="s">
        <v>237</v>
      </c>
      <c r="C42" s="317">
        <v>9716131.96</v>
      </c>
      <c r="D42" s="320">
        <v>0</v>
      </c>
      <c r="E42" s="320">
        <v>22450</v>
      </c>
      <c r="F42" s="320">
        <v>732518.9400000001</v>
      </c>
      <c r="G42" s="317">
        <v>1212346.62</v>
      </c>
      <c r="H42" s="317">
        <v>0</v>
      </c>
      <c r="I42" s="317">
        <v>19</v>
      </c>
      <c r="J42" s="321">
        <f t="shared" si="3"/>
        <v>11683466.52</v>
      </c>
      <c r="K42" s="320">
        <v>526534.37</v>
      </c>
      <c r="L42" s="317"/>
      <c r="M42" s="320"/>
      <c r="N42" s="320">
        <v>649387.24</v>
      </c>
      <c r="O42" s="320">
        <v>88286.83</v>
      </c>
      <c r="P42" s="317">
        <v>647.4</v>
      </c>
      <c r="Q42" s="321">
        <f t="shared" si="5"/>
        <v>1264855.8399999999</v>
      </c>
      <c r="R42" s="319">
        <f t="shared" si="4"/>
        <v>12948322.36</v>
      </c>
    </row>
    <row r="43" spans="1:18" ht="21.75">
      <c r="A43" s="11" t="s">
        <v>109</v>
      </c>
      <c r="B43" s="206" t="s">
        <v>238</v>
      </c>
      <c r="C43" s="317">
        <v>2950917.37</v>
      </c>
      <c r="D43" s="320">
        <v>1850496</v>
      </c>
      <c r="E43" s="320">
        <v>2750</v>
      </c>
      <c r="F43" s="321">
        <v>258385</v>
      </c>
      <c r="G43" s="317">
        <v>2221.8899999999994</v>
      </c>
      <c r="H43" s="317">
        <v>0</v>
      </c>
      <c r="I43" s="319">
        <v>0</v>
      </c>
      <c r="J43" s="321">
        <f t="shared" si="3"/>
        <v>5064770.26</v>
      </c>
      <c r="K43" s="320">
        <v>219389.32</v>
      </c>
      <c r="L43" s="317"/>
      <c r="M43" s="320"/>
      <c r="N43" s="320">
        <v>541156.03</v>
      </c>
      <c r="O43" s="320">
        <v>73572.37</v>
      </c>
      <c r="P43" s="317">
        <v>539.49</v>
      </c>
      <c r="Q43" s="321">
        <f t="shared" si="5"/>
        <v>834657.2100000001</v>
      </c>
      <c r="R43" s="319">
        <f t="shared" si="4"/>
        <v>5899427.47</v>
      </c>
    </row>
    <row r="44" spans="1:18" ht="21.75">
      <c r="A44" s="11" t="s">
        <v>108</v>
      </c>
      <c r="B44" s="206" t="s">
        <v>239</v>
      </c>
      <c r="C44" s="317">
        <v>6445176.37</v>
      </c>
      <c r="D44" s="320">
        <v>0</v>
      </c>
      <c r="E44" s="320">
        <v>0</v>
      </c>
      <c r="F44" s="321">
        <v>122878.50999999998</v>
      </c>
      <c r="G44" s="317">
        <v>0</v>
      </c>
      <c r="H44" s="317">
        <v>0</v>
      </c>
      <c r="I44" s="319">
        <v>0</v>
      </c>
      <c r="J44" s="321">
        <f t="shared" si="3"/>
        <v>6568054.88</v>
      </c>
      <c r="K44" s="320">
        <v>482656.5</v>
      </c>
      <c r="L44" s="317"/>
      <c r="M44" s="320"/>
      <c r="N44" s="320">
        <v>1028196.46</v>
      </c>
      <c r="O44" s="320">
        <v>139787.5</v>
      </c>
      <c r="P44" s="317">
        <v>1025.04</v>
      </c>
      <c r="Q44" s="321">
        <f t="shared" si="5"/>
        <v>1651665.5</v>
      </c>
      <c r="R44" s="319">
        <f t="shared" si="4"/>
        <v>8219720.38</v>
      </c>
    </row>
    <row r="45" spans="1:18" ht="21.75">
      <c r="A45" s="11" t="s">
        <v>113</v>
      </c>
      <c r="B45" s="206" t="s">
        <v>240</v>
      </c>
      <c r="C45" s="317">
        <v>2901340.31</v>
      </c>
      <c r="D45" s="320">
        <v>0</v>
      </c>
      <c r="E45" s="320">
        <v>0</v>
      </c>
      <c r="F45" s="321">
        <v>1568193.54</v>
      </c>
      <c r="G45" s="317">
        <v>61010.970000000016</v>
      </c>
      <c r="H45" s="317">
        <v>0</v>
      </c>
      <c r="I45" s="319">
        <v>1</v>
      </c>
      <c r="J45" s="321">
        <f t="shared" si="3"/>
        <v>4530545.819999999</v>
      </c>
      <c r="K45" s="320">
        <v>131633.59</v>
      </c>
      <c r="L45" s="317"/>
      <c r="M45" s="320"/>
      <c r="N45" s="320">
        <v>487040.43</v>
      </c>
      <c r="O45" s="320">
        <v>66215.13</v>
      </c>
      <c r="P45" s="317">
        <v>485.55</v>
      </c>
      <c r="Q45" s="321">
        <f t="shared" si="5"/>
        <v>685374.7000000001</v>
      </c>
      <c r="R45" s="319">
        <f t="shared" si="4"/>
        <v>5215920.52</v>
      </c>
    </row>
    <row r="46" spans="1:18" ht="21.75">
      <c r="A46" s="11" t="s">
        <v>110</v>
      </c>
      <c r="B46" s="206" t="s">
        <v>241</v>
      </c>
      <c r="C46" s="317">
        <v>5303620</v>
      </c>
      <c r="D46" s="320">
        <v>0</v>
      </c>
      <c r="E46" s="320">
        <v>0</v>
      </c>
      <c r="F46" s="321">
        <v>439055.24</v>
      </c>
      <c r="G46" s="317">
        <v>0</v>
      </c>
      <c r="H46" s="317">
        <v>0</v>
      </c>
      <c r="I46" s="319">
        <v>0</v>
      </c>
      <c r="J46" s="321">
        <f t="shared" si="3"/>
        <v>5742675.24</v>
      </c>
      <c r="K46" s="320">
        <v>394900.77</v>
      </c>
      <c r="L46" s="317"/>
      <c r="M46" s="320"/>
      <c r="N46" s="320">
        <v>811734.05</v>
      </c>
      <c r="O46" s="320">
        <v>110358.55</v>
      </c>
      <c r="P46" s="317">
        <v>809.24</v>
      </c>
      <c r="Q46" s="321">
        <f t="shared" si="5"/>
        <v>1317802.61</v>
      </c>
      <c r="R46" s="319">
        <f t="shared" si="4"/>
        <v>7060477.850000001</v>
      </c>
    </row>
    <row r="47" spans="1:18" ht="21.75">
      <c r="A47" s="11" t="s">
        <v>112</v>
      </c>
      <c r="B47" s="206" t="s">
        <v>242</v>
      </c>
      <c r="C47" s="317">
        <v>2934296.3300000005</v>
      </c>
      <c r="D47" s="320">
        <v>0</v>
      </c>
      <c r="E47" s="320">
        <v>240</v>
      </c>
      <c r="F47" s="321">
        <v>35767</v>
      </c>
      <c r="G47" s="317">
        <v>0</v>
      </c>
      <c r="H47" s="317">
        <v>0</v>
      </c>
      <c r="I47" s="319">
        <v>1</v>
      </c>
      <c r="J47" s="321">
        <f t="shared" si="3"/>
        <v>2970304.3300000005</v>
      </c>
      <c r="K47" s="320">
        <v>263267.18</v>
      </c>
      <c r="L47" s="317"/>
      <c r="M47" s="320"/>
      <c r="N47" s="320">
        <v>378809.23</v>
      </c>
      <c r="O47" s="320">
        <v>51500.65</v>
      </c>
      <c r="P47" s="317">
        <v>377.65</v>
      </c>
      <c r="Q47" s="321">
        <f t="shared" si="5"/>
        <v>693954.71</v>
      </c>
      <c r="R47" s="319">
        <f t="shared" si="4"/>
        <v>3664259.0400000005</v>
      </c>
    </row>
    <row r="48" spans="1:18" ht="21.75">
      <c r="A48" s="11" t="s">
        <v>111</v>
      </c>
      <c r="B48" s="206" t="s">
        <v>243</v>
      </c>
      <c r="C48" s="317">
        <v>6882603.37</v>
      </c>
      <c r="D48" s="320">
        <v>8000</v>
      </c>
      <c r="E48" s="320">
        <v>0</v>
      </c>
      <c r="F48" s="320">
        <v>2575651.6399999997</v>
      </c>
      <c r="G48" s="317">
        <v>374634.45000000007</v>
      </c>
      <c r="H48" s="317">
        <v>0</v>
      </c>
      <c r="I48" s="317">
        <v>0</v>
      </c>
      <c r="J48" s="321">
        <f t="shared" si="3"/>
        <v>9840889.459999999</v>
      </c>
      <c r="K48" s="320">
        <v>614290.09</v>
      </c>
      <c r="L48" s="317"/>
      <c r="M48" s="320"/>
      <c r="N48" s="320">
        <v>1461121.29</v>
      </c>
      <c r="O48" s="320">
        <v>198645.39</v>
      </c>
      <c r="P48" s="317">
        <v>1456.64</v>
      </c>
      <c r="Q48" s="321">
        <f t="shared" si="5"/>
        <v>2275513.41</v>
      </c>
      <c r="R48" s="319">
        <f t="shared" si="4"/>
        <v>12116402.87</v>
      </c>
    </row>
    <row r="49" spans="1:18" ht="21.75">
      <c r="A49" s="11" t="s">
        <v>449</v>
      </c>
      <c r="B49" s="11">
        <v>12</v>
      </c>
      <c r="C49" s="317">
        <v>8304470.37</v>
      </c>
      <c r="D49" s="320">
        <v>1016165.4</v>
      </c>
      <c r="E49" s="320">
        <v>52002</v>
      </c>
      <c r="F49" s="320">
        <v>18482940.509999998</v>
      </c>
      <c r="G49" s="317">
        <v>12966179.450000001</v>
      </c>
      <c r="H49" s="317">
        <v>0</v>
      </c>
      <c r="I49" s="319">
        <v>8</v>
      </c>
      <c r="J49" s="321">
        <f t="shared" si="3"/>
        <v>40821765.73</v>
      </c>
      <c r="K49" s="320">
        <v>614290.09</v>
      </c>
      <c r="L49" s="317"/>
      <c r="M49" s="320"/>
      <c r="N49" s="320">
        <v>1028196.46</v>
      </c>
      <c r="O49" s="320">
        <v>139787.5</v>
      </c>
      <c r="P49" s="317">
        <v>1025.04</v>
      </c>
      <c r="Q49" s="321">
        <f t="shared" si="5"/>
        <v>1783299.0899999999</v>
      </c>
      <c r="R49" s="319">
        <f t="shared" si="4"/>
        <v>42605064.81999999</v>
      </c>
    </row>
    <row r="50" spans="1:18" ht="21.75">
      <c r="A50" s="11" t="s">
        <v>408</v>
      </c>
      <c r="B50" s="11">
        <v>15</v>
      </c>
      <c r="C50" s="317">
        <v>9641445.82</v>
      </c>
      <c r="D50" s="321">
        <v>7708741.86</v>
      </c>
      <c r="E50" s="321">
        <v>40585.04</v>
      </c>
      <c r="F50" s="321">
        <v>6194363.01</v>
      </c>
      <c r="G50" s="319">
        <v>17665.7</v>
      </c>
      <c r="H50" s="317">
        <v>0</v>
      </c>
      <c r="I50" s="319">
        <v>1</v>
      </c>
      <c r="J50" s="321">
        <f t="shared" si="3"/>
        <v>23602802.429999996</v>
      </c>
      <c r="K50" s="320">
        <v>833679.41</v>
      </c>
      <c r="L50" s="317"/>
      <c r="M50" s="320"/>
      <c r="N50" s="320">
        <v>1407005.69</v>
      </c>
      <c r="O50" s="320">
        <v>191288.15</v>
      </c>
      <c r="P50" s="317">
        <v>1402.69</v>
      </c>
      <c r="Q50" s="321">
        <f t="shared" si="5"/>
        <v>2433375.94</v>
      </c>
      <c r="R50" s="319">
        <f t="shared" si="4"/>
        <v>26036178.369999997</v>
      </c>
    </row>
    <row r="51" spans="1:18" s="162" customFormat="1" ht="22.5" thickBot="1">
      <c r="A51" s="158" t="s">
        <v>27</v>
      </c>
      <c r="B51" s="158"/>
      <c r="C51" s="324">
        <f aca="true" t="shared" si="6" ref="C51:R51">SUM(C5:C50)</f>
        <v>278308947.81</v>
      </c>
      <c r="D51" s="324">
        <f t="shared" si="6"/>
        <v>28394592.41</v>
      </c>
      <c r="E51" s="324">
        <f t="shared" si="6"/>
        <v>67581281.53000002</v>
      </c>
      <c r="F51" s="324">
        <f t="shared" si="6"/>
        <v>353228994.30999994</v>
      </c>
      <c r="G51" s="324">
        <f t="shared" si="6"/>
        <v>26522802.619999997</v>
      </c>
      <c r="H51" s="324">
        <f t="shared" si="6"/>
        <v>3202471.7900000005</v>
      </c>
      <c r="I51" s="324">
        <f t="shared" si="6"/>
        <v>5633.4</v>
      </c>
      <c r="J51" s="324">
        <f t="shared" si="6"/>
        <v>757244723.8700001</v>
      </c>
      <c r="K51" s="324">
        <f t="shared" si="6"/>
        <v>12505191.189999998</v>
      </c>
      <c r="L51" s="324">
        <f t="shared" si="6"/>
        <v>0</v>
      </c>
      <c r="M51" s="324">
        <f t="shared" si="6"/>
        <v>0</v>
      </c>
      <c r="N51" s="324">
        <f t="shared" si="6"/>
        <v>19278473.240000002</v>
      </c>
      <c r="O51" s="324">
        <f t="shared" si="6"/>
        <v>2663319.63</v>
      </c>
      <c r="P51" s="324">
        <f t="shared" si="6"/>
        <v>19529.769999999993</v>
      </c>
      <c r="Q51" s="324">
        <f t="shared" si="6"/>
        <v>34466513.830000006</v>
      </c>
      <c r="R51" s="324">
        <f t="shared" si="6"/>
        <v>791711237.7000002</v>
      </c>
    </row>
    <row r="52" spans="3:9" ht="22.5" thickTop="1">
      <c r="C52" s="340"/>
      <c r="D52" s="340"/>
      <c r="E52" s="340"/>
      <c r="F52" s="340"/>
      <c r="G52" s="340"/>
      <c r="H52" s="340"/>
      <c r="I52" s="340"/>
    </row>
    <row r="53" spans="3:9" ht="21.75">
      <c r="C53" s="340"/>
      <c r="D53" s="340"/>
      <c r="E53" s="340"/>
      <c r="F53" s="340"/>
      <c r="G53" s="340"/>
      <c r="H53" s="340"/>
      <c r="I53" s="340"/>
    </row>
  </sheetData>
  <sheetProtection/>
  <mergeCells count="4">
    <mergeCell ref="R3:R4"/>
    <mergeCell ref="A3:A4"/>
    <mergeCell ref="K3:Q3"/>
    <mergeCell ref="C3:J3"/>
  </mergeCells>
  <printOptions horizontalCentered="1"/>
  <pageMargins left="0.1" right="0" top="0.393700787401575" bottom="0.393700787401575" header="0.511811023622047" footer="0.511811023622047"/>
  <pageSetup orientation="landscape" paperSize="5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3.00390625" style="28" customWidth="1"/>
    <col min="2" max="2" width="7.421875" style="28" customWidth="1"/>
    <col min="3" max="15" width="9.140625" style="28" customWidth="1"/>
    <col min="16" max="16384" width="9.140625" style="28" customWidth="1"/>
  </cols>
  <sheetData>
    <row r="1" spans="1:2" ht="24">
      <c r="A1" s="84" t="s">
        <v>53</v>
      </c>
      <c r="B1" s="28" t="s">
        <v>54</v>
      </c>
    </row>
    <row r="3" spans="1:16" ht="90" customHeight="1">
      <c r="A3" s="646" t="s">
        <v>434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572"/>
    </row>
    <row r="4" spans="1:16" ht="117" customHeight="1">
      <c r="A4" s="646" t="s">
        <v>436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572"/>
    </row>
    <row r="5" spans="1:16" ht="71.25" customHeight="1">
      <c r="A5" s="646" t="s">
        <v>437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572"/>
    </row>
    <row r="6" spans="1:16" ht="78" customHeight="1">
      <c r="A6" s="646" t="s">
        <v>411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572"/>
    </row>
    <row r="12" spans="1:3" ht="24" hidden="1">
      <c r="A12" s="84" t="s">
        <v>20</v>
      </c>
      <c r="C12" s="28" t="s">
        <v>214</v>
      </c>
    </row>
    <row r="13" ht="24" hidden="1">
      <c r="A13" s="28" t="s">
        <v>223</v>
      </c>
    </row>
    <row r="14" ht="24" hidden="1">
      <c r="A14" s="28" t="s">
        <v>222</v>
      </c>
    </row>
    <row r="17" spans="1:15" ht="24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24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2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4">
    <mergeCell ref="A5:O5"/>
    <mergeCell ref="A6:O6"/>
    <mergeCell ref="A3:O3"/>
    <mergeCell ref="A4:O4"/>
  </mergeCells>
  <printOptions horizontalCentered="1"/>
  <pageMargins left="0.69" right="0.16" top="0.69" bottom="0.16" header="0.511811023622047" footer="0.511811023622047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D50" sqref="D50"/>
    </sheetView>
  </sheetViews>
  <sheetFormatPr defaultColWidth="9.140625" defaultRowHeight="12.75"/>
  <cols>
    <col min="1" max="1" width="11.421875" style="108" customWidth="1"/>
    <col min="2" max="2" width="38.8515625" style="108" bestFit="1" customWidth="1"/>
    <col min="3" max="3" width="13.140625" style="108" bestFit="1" customWidth="1"/>
    <col min="4" max="4" width="12.28125" style="108" bestFit="1" customWidth="1"/>
    <col min="5" max="5" width="11.421875" style="108" bestFit="1" customWidth="1"/>
    <col min="6" max="6" width="9.00390625" style="108" bestFit="1" customWidth="1"/>
    <col min="7" max="8" width="13.140625" style="108" bestFit="1" customWidth="1"/>
    <col min="9" max="9" width="12.00390625" style="108" bestFit="1" customWidth="1"/>
    <col min="10" max="10" width="12.140625" style="108" bestFit="1" customWidth="1"/>
    <col min="11" max="12" width="13.140625" style="108" bestFit="1" customWidth="1"/>
    <col min="13" max="13" width="13.421875" style="108" bestFit="1" customWidth="1"/>
    <col min="14" max="14" width="12.140625" style="108" bestFit="1" customWidth="1"/>
    <col min="15" max="15" width="11.140625" style="108" bestFit="1" customWidth="1"/>
    <col min="16" max="16" width="8.140625" style="108" bestFit="1" customWidth="1"/>
    <col min="17" max="17" width="13.28125" style="108" bestFit="1" customWidth="1"/>
    <col min="18" max="18" width="13.140625" style="108" bestFit="1" customWidth="1"/>
    <col min="19" max="19" width="12.140625" style="108" bestFit="1" customWidth="1"/>
    <col min="20" max="20" width="12.28125" style="108" bestFit="1" customWidth="1"/>
    <col min="21" max="21" width="12.8515625" style="107" bestFit="1" customWidth="1"/>
    <col min="22" max="22" width="13.140625" style="107" bestFit="1" customWidth="1"/>
    <col min="23" max="23" width="10.421875" style="600" customWidth="1"/>
    <col min="24" max="24" width="10.140625" style="600" customWidth="1"/>
    <col min="25" max="25" width="9.28125" style="600" customWidth="1"/>
    <col min="26" max="26" width="13.8515625" style="107" bestFit="1" customWidth="1"/>
    <col min="27" max="16384" width="9.140625" style="107" customWidth="1"/>
  </cols>
  <sheetData>
    <row r="1" spans="1:25" s="200" customFormat="1" ht="18.75">
      <c r="A1" s="651" t="s">
        <v>392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</row>
    <row r="2" spans="1:20" ht="18.75">
      <c r="A2" s="106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24:25" ht="19.5" customHeight="1">
      <c r="X3" s="601" t="s">
        <v>17</v>
      </c>
      <c r="Y3" s="601"/>
    </row>
    <row r="4" spans="1:25" ht="21.75" customHeight="1">
      <c r="A4" s="661" t="s">
        <v>31</v>
      </c>
      <c r="B4" s="662"/>
      <c r="C4" s="655" t="s">
        <v>365</v>
      </c>
      <c r="D4" s="655"/>
      <c r="E4" s="655"/>
      <c r="F4" s="655"/>
      <c r="G4" s="655"/>
      <c r="H4" s="655"/>
      <c r="I4" s="655"/>
      <c r="J4" s="655"/>
      <c r="K4" s="655"/>
      <c r="L4" s="655"/>
      <c r="M4" s="655" t="s">
        <v>393</v>
      </c>
      <c r="N4" s="655"/>
      <c r="O4" s="655"/>
      <c r="P4" s="655"/>
      <c r="Q4" s="655"/>
      <c r="R4" s="655"/>
      <c r="S4" s="655"/>
      <c r="T4" s="655"/>
      <c r="U4" s="655"/>
      <c r="V4" s="655"/>
      <c r="W4" s="652" t="s">
        <v>57</v>
      </c>
      <c r="X4" s="652" t="s">
        <v>58</v>
      </c>
      <c r="Y4" s="654" t="s">
        <v>43</v>
      </c>
    </row>
    <row r="5" spans="1:25" ht="21.75" customHeight="1">
      <c r="A5" s="663"/>
      <c r="B5" s="664"/>
      <c r="C5" s="656" t="s">
        <v>55</v>
      </c>
      <c r="D5" s="657"/>
      <c r="E5" s="657"/>
      <c r="F5" s="657"/>
      <c r="G5" s="658"/>
      <c r="H5" s="655" t="s">
        <v>56</v>
      </c>
      <c r="I5" s="655"/>
      <c r="J5" s="655"/>
      <c r="K5" s="655"/>
      <c r="L5" s="659" t="s">
        <v>11</v>
      </c>
      <c r="M5" s="656" t="s">
        <v>55</v>
      </c>
      <c r="N5" s="657"/>
      <c r="O5" s="657"/>
      <c r="P5" s="657"/>
      <c r="Q5" s="658"/>
      <c r="R5" s="655" t="s">
        <v>56</v>
      </c>
      <c r="S5" s="655"/>
      <c r="T5" s="655"/>
      <c r="U5" s="655"/>
      <c r="V5" s="659" t="s">
        <v>11</v>
      </c>
      <c r="W5" s="653"/>
      <c r="X5" s="653"/>
      <c r="Y5" s="653"/>
    </row>
    <row r="6" spans="1:25" ht="91.5" customHeight="1">
      <c r="A6" s="665"/>
      <c r="B6" s="666"/>
      <c r="C6" s="91" t="s">
        <v>34</v>
      </c>
      <c r="D6" s="91" t="s">
        <v>37</v>
      </c>
      <c r="E6" s="91" t="s">
        <v>295</v>
      </c>
      <c r="F6" s="91" t="s">
        <v>39</v>
      </c>
      <c r="G6" s="91" t="s">
        <v>18</v>
      </c>
      <c r="H6" s="91" t="s">
        <v>35</v>
      </c>
      <c r="I6" s="91" t="s">
        <v>38</v>
      </c>
      <c r="J6" s="91" t="s">
        <v>36</v>
      </c>
      <c r="K6" s="91" t="s">
        <v>18</v>
      </c>
      <c r="L6" s="660"/>
      <c r="M6" s="91" t="s">
        <v>34</v>
      </c>
      <c r="N6" s="91" t="s">
        <v>37</v>
      </c>
      <c r="O6" s="91" t="s">
        <v>295</v>
      </c>
      <c r="P6" s="91" t="s">
        <v>39</v>
      </c>
      <c r="Q6" s="91" t="s">
        <v>18</v>
      </c>
      <c r="R6" s="91" t="s">
        <v>35</v>
      </c>
      <c r="S6" s="91" t="s">
        <v>38</v>
      </c>
      <c r="T6" s="91" t="s">
        <v>36</v>
      </c>
      <c r="U6" s="91" t="s">
        <v>18</v>
      </c>
      <c r="V6" s="660"/>
      <c r="W6" s="653"/>
      <c r="X6" s="653"/>
      <c r="Y6" s="653"/>
    </row>
    <row r="7" spans="1:25" ht="18.75">
      <c r="A7" s="92" t="s">
        <v>32</v>
      </c>
      <c r="B7" s="92"/>
      <c r="C7" s="93"/>
      <c r="D7" s="93"/>
      <c r="E7" s="93"/>
      <c r="F7" s="93"/>
      <c r="G7" s="93"/>
      <c r="H7" s="100"/>
      <c r="I7" s="93"/>
      <c r="J7" s="93"/>
      <c r="K7" s="109"/>
      <c r="L7" s="109"/>
      <c r="M7" s="93"/>
      <c r="N7" s="93"/>
      <c r="O7" s="93"/>
      <c r="P7" s="93"/>
      <c r="Q7" s="93"/>
      <c r="R7" s="100"/>
      <c r="S7" s="93"/>
      <c r="T7" s="93"/>
      <c r="U7" s="109"/>
      <c r="V7" s="109"/>
      <c r="W7" s="602"/>
      <c r="X7" s="602"/>
      <c r="Y7" s="602"/>
    </row>
    <row r="8" spans="1:26" ht="21.75">
      <c r="A8" s="186" t="s">
        <v>139</v>
      </c>
      <c r="B8" s="294" t="s">
        <v>116</v>
      </c>
      <c r="C8" s="305">
        <v>6056155.12</v>
      </c>
      <c r="D8" s="305">
        <v>0</v>
      </c>
      <c r="E8" s="305">
        <v>0</v>
      </c>
      <c r="F8" s="305">
        <v>6</v>
      </c>
      <c r="G8" s="309">
        <v>6056161.12</v>
      </c>
      <c r="H8" s="305">
        <v>3330130</v>
      </c>
      <c r="I8" s="305">
        <v>0</v>
      </c>
      <c r="J8" s="305">
        <v>3196988.34</v>
      </c>
      <c r="K8" s="308">
        <f aca="true" t="shared" si="0" ref="K8:K40">SUM(H8:J8)</f>
        <v>6527118.34</v>
      </c>
      <c r="L8" s="308">
        <f aca="true" t="shared" si="1" ref="L8:L40">SUM(G8+K8)</f>
        <v>12583279.46</v>
      </c>
      <c r="M8" s="305">
        <v>5147220.17</v>
      </c>
      <c r="N8" s="305">
        <v>0</v>
      </c>
      <c r="O8" s="305">
        <v>0</v>
      </c>
      <c r="P8" s="305">
        <v>0</v>
      </c>
      <c r="Q8" s="309">
        <f>SUM(M8:P8)</f>
        <v>5147220.17</v>
      </c>
      <c r="R8" s="305">
        <v>3009383.3000000003</v>
      </c>
      <c r="S8" s="305">
        <v>0</v>
      </c>
      <c r="T8" s="305">
        <v>3054060.4499999997</v>
      </c>
      <c r="U8" s="308">
        <f>SUM(R8:T8)</f>
        <v>6063443.75</v>
      </c>
      <c r="V8" s="308">
        <f aca="true" t="shared" si="2" ref="V8:V40">SUM(Q8+U8)</f>
        <v>11210663.92</v>
      </c>
      <c r="W8" s="603">
        <f>(Q8-G8)*100/G8</f>
        <v>-15.00853316135024</v>
      </c>
      <c r="X8" s="603">
        <f>(U8-K8)*100/K8</f>
        <v>-7.103817731608645</v>
      </c>
      <c r="Y8" s="603">
        <f>(V8-L8)*100/L8</f>
        <v>-10.908249668644018</v>
      </c>
      <c r="Z8" s="184"/>
    </row>
    <row r="9" spans="1:26" s="190" customFormat="1" ht="21.75">
      <c r="A9" s="186" t="s">
        <v>140</v>
      </c>
      <c r="B9" s="294" t="s">
        <v>117</v>
      </c>
      <c r="C9" s="305">
        <v>4475873.92</v>
      </c>
      <c r="D9" s="305">
        <v>171994.10999999996</v>
      </c>
      <c r="E9" s="305">
        <v>0</v>
      </c>
      <c r="F9" s="305">
        <v>0</v>
      </c>
      <c r="G9" s="309">
        <v>4647868.03</v>
      </c>
      <c r="H9" s="305">
        <v>17673059.259999998</v>
      </c>
      <c r="I9" s="305">
        <v>1795231.2</v>
      </c>
      <c r="J9" s="305">
        <v>6100554.32</v>
      </c>
      <c r="K9" s="308">
        <f t="shared" si="0"/>
        <v>25568844.779999997</v>
      </c>
      <c r="L9" s="308">
        <f t="shared" si="1"/>
        <v>30216712.81</v>
      </c>
      <c r="M9" s="305">
        <v>5462849.4399999995</v>
      </c>
      <c r="N9" s="305">
        <v>171994.11999999997</v>
      </c>
      <c r="O9" s="305">
        <v>0</v>
      </c>
      <c r="P9" s="305">
        <v>0</v>
      </c>
      <c r="Q9" s="309">
        <f aca="true" t="shared" si="3" ref="Q9:Q52">SUM(M9:P9)</f>
        <v>5634843.56</v>
      </c>
      <c r="R9" s="305">
        <v>10172255.32</v>
      </c>
      <c r="S9" s="305">
        <v>330780</v>
      </c>
      <c r="T9" s="305">
        <v>5600997.039999999</v>
      </c>
      <c r="U9" s="308">
        <f aca="true" t="shared" si="4" ref="U9:U52">SUM(R9:T9)</f>
        <v>16104032.36</v>
      </c>
      <c r="V9" s="308">
        <f t="shared" si="2"/>
        <v>21738875.919999998</v>
      </c>
      <c r="W9" s="603">
        <f aca="true" t="shared" si="5" ref="W9:W24">(Q9-G9)*100/G9</f>
        <v>21.235016218823223</v>
      </c>
      <c r="X9" s="603">
        <f aca="true" t="shared" si="6" ref="X9:X24">(U9-K9)*100/K9</f>
        <v>-37.01697320093004</v>
      </c>
      <c r="Y9" s="603">
        <f aca="true" t="shared" si="7" ref="Y9:Y24">(V9-L9)*100/L9</f>
        <v>-28.056780839490663</v>
      </c>
      <c r="Z9" s="184"/>
    </row>
    <row r="10" spans="1:26" s="190" customFormat="1" ht="21.75">
      <c r="A10" s="186" t="s">
        <v>141</v>
      </c>
      <c r="B10" s="130" t="s">
        <v>104</v>
      </c>
      <c r="C10" s="311">
        <v>7594980.539999999</v>
      </c>
      <c r="D10" s="311">
        <v>35906.24</v>
      </c>
      <c r="E10" s="311">
        <v>0</v>
      </c>
      <c r="F10" s="311">
        <v>6</v>
      </c>
      <c r="G10" s="309">
        <v>7630892.779999999</v>
      </c>
      <c r="H10" s="311">
        <v>96867963.62</v>
      </c>
      <c r="I10" s="311">
        <v>284853.27</v>
      </c>
      <c r="J10" s="311">
        <v>743528.14</v>
      </c>
      <c r="K10" s="307">
        <f t="shared" si="0"/>
        <v>97896345.03</v>
      </c>
      <c r="L10" s="307">
        <f t="shared" si="1"/>
        <v>105527237.81</v>
      </c>
      <c r="M10" s="311">
        <v>8785530.919999998</v>
      </c>
      <c r="N10" s="311">
        <v>81548.87999999999</v>
      </c>
      <c r="O10" s="311">
        <v>0</v>
      </c>
      <c r="P10" s="311">
        <v>1</v>
      </c>
      <c r="Q10" s="309">
        <f t="shared" si="3"/>
        <v>8867080.799999999</v>
      </c>
      <c r="R10" s="311">
        <v>134065586.44999997</v>
      </c>
      <c r="S10" s="311">
        <v>142464.68</v>
      </c>
      <c r="T10" s="311">
        <v>31723.6</v>
      </c>
      <c r="U10" s="308">
        <f t="shared" si="4"/>
        <v>134239774.73</v>
      </c>
      <c r="V10" s="307">
        <f t="shared" si="2"/>
        <v>143106855.53</v>
      </c>
      <c r="W10" s="603">
        <f t="shared" si="5"/>
        <v>16.199782327435607</v>
      </c>
      <c r="X10" s="603">
        <f t="shared" si="6"/>
        <v>37.124398963886414</v>
      </c>
      <c r="Y10" s="603">
        <f t="shared" si="7"/>
        <v>35.61129666604319</v>
      </c>
      <c r="Z10" s="184"/>
    </row>
    <row r="11" spans="1:26" ht="21.75">
      <c r="A11" s="186" t="s">
        <v>142</v>
      </c>
      <c r="B11" s="130" t="s">
        <v>137</v>
      </c>
      <c r="C11" s="310">
        <v>5640903.35</v>
      </c>
      <c r="D11" s="310">
        <v>2041594.8499999999</v>
      </c>
      <c r="E11" s="310">
        <v>0</v>
      </c>
      <c r="F11" s="310">
        <v>3</v>
      </c>
      <c r="G11" s="309">
        <v>7682501.199999999</v>
      </c>
      <c r="H11" s="157">
        <v>37345198.65</v>
      </c>
      <c r="I11" s="313">
        <v>218700</v>
      </c>
      <c r="J11" s="157">
        <v>0</v>
      </c>
      <c r="K11" s="307">
        <f t="shared" si="0"/>
        <v>37563898.65</v>
      </c>
      <c r="L11" s="307">
        <f t="shared" si="1"/>
        <v>45246399.849999994</v>
      </c>
      <c r="M11" s="310">
        <v>5959087.58</v>
      </c>
      <c r="N11" s="310">
        <v>3096181.79</v>
      </c>
      <c r="O11" s="310">
        <v>0</v>
      </c>
      <c r="P11" s="310">
        <v>0</v>
      </c>
      <c r="Q11" s="309">
        <f t="shared" si="3"/>
        <v>9055269.370000001</v>
      </c>
      <c r="R11" s="157">
        <v>37821364.98</v>
      </c>
      <c r="S11" s="313">
        <v>999472</v>
      </c>
      <c r="T11" s="157">
        <v>0</v>
      </c>
      <c r="U11" s="308">
        <f t="shared" si="4"/>
        <v>38820836.98</v>
      </c>
      <c r="V11" s="307">
        <f t="shared" si="2"/>
        <v>47876106.349999994</v>
      </c>
      <c r="W11" s="603">
        <f t="shared" si="5"/>
        <v>17.868766099249058</v>
      </c>
      <c r="X11" s="603">
        <f t="shared" si="6"/>
        <v>3.346133855038495</v>
      </c>
      <c r="Y11" s="603">
        <f t="shared" si="7"/>
        <v>5.811968485267233</v>
      </c>
      <c r="Z11" s="184"/>
    </row>
    <row r="12" spans="1:26" ht="21.75">
      <c r="A12" s="186" t="s">
        <v>143</v>
      </c>
      <c r="B12" s="130" t="s">
        <v>375</v>
      </c>
      <c r="C12" s="311">
        <v>7066438.87</v>
      </c>
      <c r="D12" s="311">
        <v>29318.669999999995</v>
      </c>
      <c r="E12" s="311">
        <v>0</v>
      </c>
      <c r="F12" s="311">
        <v>5</v>
      </c>
      <c r="G12" s="309">
        <v>7095762.54</v>
      </c>
      <c r="H12" s="311">
        <v>27944495.93</v>
      </c>
      <c r="I12" s="311">
        <v>976825.32</v>
      </c>
      <c r="J12" s="311">
        <v>20912691.610000003</v>
      </c>
      <c r="K12" s="307">
        <f t="shared" si="0"/>
        <v>49834012.86</v>
      </c>
      <c r="L12" s="307">
        <f t="shared" si="1"/>
        <v>56929775.4</v>
      </c>
      <c r="M12" s="311">
        <v>6205297.76</v>
      </c>
      <c r="N12" s="311">
        <v>25607.499999999996</v>
      </c>
      <c r="O12" s="311">
        <v>0</v>
      </c>
      <c r="P12" s="311">
        <v>4</v>
      </c>
      <c r="Q12" s="309">
        <f t="shared" si="3"/>
        <v>6230909.26</v>
      </c>
      <c r="R12" s="311">
        <v>9769940.430000002</v>
      </c>
      <c r="S12" s="311">
        <v>1221871</v>
      </c>
      <c r="T12" s="311">
        <v>19968629.44</v>
      </c>
      <c r="U12" s="308">
        <f t="shared" si="4"/>
        <v>30960440.870000005</v>
      </c>
      <c r="V12" s="307">
        <f t="shared" si="2"/>
        <v>37191350.13</v>
      </c>
      <c r="W12" s="603">
        <f t="shared" si="5"/>
        <v>-12.18830640293665</v>
      </c>
      <c r="X12" s="603">
        <f>(U12-K12)*100/K12</f>
        <v>-37.87287217471733</v>
      </c>
      <c r="Y12" s="603">
        <f t="shared" si="7"/>
        <v>-34.67153195549054</v>
      </c>
      <c r="Z12" s="184"/>
    </row>
    <row r="13" spans="1:26" ht="21.75">
      <c r="A13" s="186" t="s">
        <v>144</v>
      </c>
      <c r="B13" s="130" t="s">
        <v>376</v>
      </c>
      <c r="C13" s="311">
        <v>7257572.249999999</v>
      </c>
      <c r="D13" s="311">
        <v>1897.3900000000003</v>
      </c>
      <c r="E13" s="311">
        <v>0</v>
      </c>
      <c r="F13" s="311">
        <v>2</v>
      </c>
      <c r="G13" s="309">
        <v>7259471.639999999</v>
      </c>
      <c r="H13" s="311">
        <v>546236.3</v>
      </c>
      <c r="I13" s="311">
        <v>687347.46</v>
      </c>
      <c r="J13" s="311">
        <v>381342.24</v>
      </c>
      <c r="K13" s="307">
        <f t="shared" si="0"/>
        <v>1614926</v>
      </c>
      <c r="L13" s="307">
        <f t="shared" si="1"/>
        <v>8874397.639999999</v>
      </c>
      <c r="M13" s="311">
        <v>5957377.609999999</v>
      </c>
      <c r="N13" s="311">
        <v>1911.6300000000003</v>
      </c>
      <c r="O13" s="311">
        <v>0</v>
      </c>
      <c r="P13" s="311">
        <v>1</v>
      </c>
      <c r="Q13" s="309">
        <f t="shared" si="3"/>
        <v>5959290.239999999</v>
      </c>
      <c r="R13" s="311">
        <v>51682</v>
      </c>
      <c r="S13" s="311">
        <v>508854.96</v>
      </c>
      <c r="T13" s="311">
        <v>652885.5800000001</v>
      </c>
      <c r="U13" s="308">
        <f t="shared" si="4"/>
        <v>1213422.54</v>
      </c>
      <c r="V13" s="307">
        <f t="shared" si="2"/>
        <v>7172712.779999999</v>
      </c>
      <c r="W13" s="603">
        <f t="shared" si="5"/>
        <v>-17.910138154351955</v>
      </c>
      <c r="X13" s="603">
        <f t="shared" si="6"/>
        <v>-24.862034545236128</v>
      </c>
      <c r="Y13" s="603">
        <f t="shared" si="7"/>
        <v>-19.175215367067995</v>
      </c>
      <c r="Z13" s="184"/>
    </row>
    <row r="14" spans="1:26" s="190" customFormat="1" ht="21.75">
      <c r="A14" s="186" t="s">
        <v>145</v>
      </c>
      <c r="B14" s="130" t="s">
        <v>377</v>
      </c>
      <c r="C14" s="311">
        <v>4227508.47</v>
      </c>
      <c r="D14" s="311">
        <v>12912.54</v>
      </c>
      <c r="E14" s="311">
        <v>0</v>
      </c>
      <c r="F14" s="311">
        <v>4</v>
      </c>
      <c r="G14" s="309">
        <v>4240425.01</v>
      </c>
      <c r="H14" s="311">
        <v>16992238.760000005</v>
      </c>
      <c r="I14" s="311">
        <v>761513</v>
      </c>
      <c r="J14" s="311">
        <v>4911515.36</v>
      </c>
      <c r="K14" s="307">
        <f t="shared" si="0"/>
        <v>22665267.120000005</v>
      </c>
      <c r="L14" s="307">
        <f t="shared" si="1"/>
        <v>26905692.130000003</v>
      </c>
      <c r="M14" s="311">
        <v>3739204.5599999996</v>
      </c>
      <c r="N14" s="311">
        <v>1058.55</v>
      </c>
      <c r="O14" s="311">
        <v>0</v>
      </c>
      <c r="P14" s="311">
        <v>1</v>
      </c>
      <c r="Q14" s="309">
        <f t="shared" si="3"/>
        <v>3740264.1099999994</v>
      </c>
      <c r="R14" s="311">
        <v>12992444.18</v>
      </c>
      <c r="S14" s="311">
        <v>1557759.85</v>
      </c>
      <c r="T14" s="311">
        <v>4480381.59</v>
      </c>
      <c r="U14" s="308">
        <f t="shared" si="4"/>
        <v>19030585.619999997</v>
      </c>
      <c r="V14" s="307">
        <f t="shared" si="2"/>
        <v>22770849.729999997</v>
      </c>
      <c r="W14" s="603">
        <f t="shared" si="5"/>
        <v>-11.795065325303334</v>
      </c>
      <c r="X14" s="603">
        <f t="shared" si="6"/>
        <v>-16.036349718520356</v>
      </c>
      <c r="Y14" s="603">
        <f t="shared" si="7"/>
        <v>-15.367909437236268</v>
      </c>
      <c r="Z14" s="184"/>
    </row>
    <row r="15" spans="1:26" s="190" customFormat="1" ht="21.75">
      <c r="A15" s="186" t="s">
        <v>146</v>
      </c>
      <c r="B15" s="130" t="s">
        <v>370</v>
      </c>
      <c r="C15" s="311">
        <v>10092500.430000002</v>
      </c>
      <c r="D15" s="311">
        <v>0</v>
      </c>
      <c r="E15" s="311">
        <v>0</v>
      </c>
      <c r="F15" s="312">
        <v>8</v>
      </c>
      <c r="G15" s="309">
        <v>10092508.430000002</v>
      </c>
      <c r="H15" s="311">
        <v>2862.25</v>
      </c>
      <c r="I15" s="311">
        <v>0</v>
      </c>
      <c r="J15" s="311">
        <v>0</v>
      </c>
      <c r="K15" s="307">
        <f t="shared" si="0"/>
        <v>2862.25</v>
      </c>
      <c r="L15" s="307">
        <f>SUM(G15+K15)</f>
        <v>10095370.680000002</v>
      </c>
      <c r="M15" s="311">
        <v>7585410.42</v>
      </c>
      <c r="N15" s="311">
        <v>0</v>
      </c>
      <c r="O15" s="311">
        <v>0</v>
      </c>
      <c r="P15" s="312">
        <v>0</v>
      </c>
      <c r="Q15" s="309">
        <f t="shared" si="3"/>
        <v>7585410.42</v>
      </c>
      <c r="R15" s="311">
        <v>13493.910000000002</v>
      </c>
      <c r="S15" s="311">
        <v>0</v>
      </c>
      <c r="T15" s="311">
        <v>0</v>
      </c>
      <c r="U15" s="308">
        <f t="shared" si="4"/>
        <v>13493.910000000002</v>
      </c>
      <c r="V15" s="307">
        <f t="shared" si="2"/>
        <v>7598904.33</v>
      </c>
      <c r="W15" s="603">
        <f t="shared" si="5"/>
        <v>-24.84117825998191</v>
      </c>
      <c r="X15" s="603">
        <v>100</v>
      </c>
      <c r="Y15" s="603">
        <f t="shared" si="7"/>
        <v>-24.728823033172677</v>
      </c>
      <c r="Z15" s="184"/>
    </row>
    <row r="16" spans="1:26" ht="21.75">
      <c r="A16" s="186" t="s">
        <v>147</v>
      </c>
      <c r="B16" s="130" t="s">
        <v>371</v>
      </c>
      <c r="C16" s="311">
        <v>8453364.17</v>
      </c>
      <c r="D16" s="311">
        <v>5042.01</v>
      </c>
      <c r="E16" s="311">
        <v>0</v>
      </c>
      <c r="F16" s="312">
        <v>7</v>
      </c>
      <c r="G16" s="309">
        <v>8458413.18</v>
      </c>
      <c r="H16" s="311">
        <v>12130</v>
      </c>
      <c r="I16" s="311">
        <v>0</v>
      </c>
      <c r="J16" s="311">
        <v>0</v>
      </c>
      <c r="K16" s="307">
        <f t="shared" si="0"/>
        <v>12130</v>
      </c>
      <c r="L16" s="307">
        <f t="shared" si="1"/>
        <v>8470543.18</v>
      </c>
      <c r="M16" s="311">
        <v>10118848.389999999</v>
      </c>
      <c r="N16" s="311">
        <v>2058.01</v>
      </c>
      <c r="O16" s="311">
        <v>0</v>
      </c>
      <c r="P16" s="312">
        <v>1</v>
      </c>
      <c r="Q16" s="309">
        <f t="shared" si="3"/>
        <v>10120907.399999999</v>
      </c>
      <c r="R16" s="311">
        <v>21606.48</v>
      </c>
      <c r="S16" s="311">
        <v>0</v>
      </c>
      <c r="T16" s="311">
        <v>0</v>
      </c>
      <c r="U16" s="308">
        <f t="shared" si="4"/>
        <v>21606.48</v>
      </c>
      <c r="V16" s="307">
        <f t="shared" si="2"/>
        <v>10142513.879999999</v>
      </c>
      <c r="W16" s="603">
        <f t="shared" si="5"/>
        <v>19.654918536386738</v>
      </c>
      <c r="X16" s="603">
        <f t="shared" si="6"/>
        <v>78.12431986809563</v>
      </c>
      <c r="Y16" s="603">
        <f t="shared" si="7"/>
        <v>19.73864797652799</v>
      </c>
      <c r="Z16" s="184"/>
    </row>
    <row r="17" spans="1:26" ht="21.75">
      <c r="A17" s="186" t="s">
        <v>148</v>
      </c>
      <c r="B17" s="294" t="s">
        <v>372</v>
      </c>
      <c r="C17" s="305">
        <v>9692599.339999998</v>
      </c>
      <c r="D17" s="305">
        <v>10090.01</v>
      </c>
      <c r="E17" s="305">
        <v>0</v>
      </c>
      <c r="F17" s="305">
        <v>4</v>
      </c>
      <c r="G17" s="309">
        <v>9702693.349999998</v>
      </c>
      <c r="H17" s="305">
        <v>12369.2</v>
      </c>
      <c r="I17" s="305">
        <v>0</v>
      </c>
      <c r="J17" s="305">
        <v>0</v>
      </c>
      <c r="K17" s="308">
        <f t="shared" si="0"/>
        <v>12369.2</v>
      </c>
      <c r="L17" s="308">
        <f t="shared" si="1"/>
        <v>9715062.549999997</v>
      </c>
      <c r="M17" s="305">
        <v>9005574.75</v>
      </c>
      <c r="N17" s="305">
        <v>7106.01</v>
      </c>
      <c r="O17" s="305">
        <v>0</v>
      </c>
      <c r="P17" s="305">
        <v>1</v>
      </c>
      <c r="Q17" s="309">
        <f t="shared" si="3"/>
        <v>9012681.76</v>
      </c>
      <c r="R17" s="305">
        <v>12860.869999999999</v>
      </c>
      <c r="S17" s="305">
        <v>0</v>
      </c>
      <c r="T17" s="305">
        <v>0</v>
      </c>
      <c r="U17" s="308">
        <f t="shared" si="4"/>
        <v>12860.869999999999</v>
      </c>
      <c r="V17" s="308">
        <f t="shared" si="2"/>
        <v>9025542.629999999</v>
      </c>
      <c r="W17" s="603">
        <f t="shared" si="5"/>
        <v>-7.11154691908302</v>
      </c>
      <c r="X17" s="603">
        <f t="shared" si="6"/>
        <v>3.974953917795801</v>
      </c>
      <c r="Y17" s="603">
        <f t="shared" si="7"/>
        <v>-7.0974316063461504</v>
      </c>
      <c r="Z17" s="184"/>
    </row>
    <row r="18" spans="1:26" ht="21.75">
      <c r="A18" s="186" t="s">
        <v>149</v>
      </c>
      <c r="B18" s="294" t="s">
        <v>373</v>
      </c>
      <c r="C18" s="305">
        <v>11656352.22</v>
      </c>
      <c r="D18" s="305">
        <v>7293.010000000001</v>
      </c>
      <c r="E18" s="305">
        <v>0</v>
      </c>
      <c r="F18" s="314">
        <v>5</v>
      </c>
      <c r="G18" s="309">
        <v>11663650.23</v>
      </c>
      <c r="H18" s="305">
        <v>5919.4</v>
      </c>
      <c r="I18" s="314">
        <v>0</v>
      </c>
      <c r="J18" s="305">
        <v>0</v>
      </c>
      <c r="K18" s="308">
        <f t="shared" si="0"/>
        <v>5919.4</v>
      </c>
      <c r="L18" s="308">
        <f t="shared" si="1"/>
        <v>11669569.63</v>
      </c>
      <c r="M18" s="305">
        <v>7573270.169999999</v>
      </c>
      <c r="N18" s="305">
        <v>2578.96</v>
      </c>
      <c r="O18" s="305">
        <v>0</v>
      </c>
      <c r="P18" s="314">
        <v>2</v>
      </c>
      <c r="Q18" s="309">
        <f t="shared" si="3"/>
        <v>7575851.129999999</v>
      </c>
      <c r="R18" s="305">
        <v>15782.5</v>
      </c>
      <c r="S18" s="314">
        <v>0</v>
      </c>
      <c r="T18" s="305">
        <v>0</v>
      </c>
      <c r="U18" s="308">
        <f t="shared" si="4"/>
        <v>15782.5</v>
      </c>
      <c r="V18" s="308">
        <f t="shared" si="2"/>
        <v>7591633.629999999</v>
      </c>
      <c r="W18" s="603">
        <f t="shared" si="5"/>
        <v>-35.04733954972174</v>
      </c>
      <c r="X18" s="603">
        <v>100</v>
      </c>
      <c r="Y18" s="603">
        <f t="shared" si="7"/>
        <v>-34.94504192782302</v>
      </c>
      <c r="Z18" s="184"/>
    </row>
    <row r="19" spans="1:26" ht="21.75">
      <c r="A19" s="186" t="s">
        <v>394</v>
      </c>
      <c r="B19" s="294" t="s">
        <v>374</v>
      </c>
      <c r="C19" s="305"/>
      <c r="D19" s="305"/>
      <c r="E19" s="305"/>
      <c r="F19" s="314"/>
      <c r="G19" s="309"/>
      <c r="H19" s="305"/>
      <c r="I19" s="314"/>
      <c r="J19" s="305"/>
      <c r="K19" s="308"/>
      <c r="L19" s="308"/>
      <c r="M19" s="305">
        <v>5267753.95</v>
      </c>
      <c r="N19" s="305">
        <v>23888.509999999995</v>
      </c>
      <c r="O19" s="305">
        <v>0</v>
      </c>
      <c r="P19" s="314">
        <v>0</v>
      </c>
      <c r="Q19" s="309">
        <f t="shared" si="3"/>
        <v>5291642.46</v>
      </c>
      <c r="R19" s="305">
        <v>39326.95</v>
      </c>
      <c r="S19" s="314">
        <v>0</v>
      </c>
      <c r="T19" s="305">
        <v>0</v>
      </c>
      <c r="U19" s="308">
        <f t="shared" si="4"/>
        <v>39326.95</v>
      </c>
      <c r="V19" s="308">
        <f>SUM(Q19+U19)</f>
        <v>5330969.41</v>
      </c>
      <c r="W19" s="603">
        <v>100</v>
      </c>
      <c r="X19" s="603">
        <v>100</v>
      </c>
      <c r="Y19" s="603">
        <v>100</v>
      </c>
      <c r="Z19" s="184"/>
    </row>
    <row r="20" spans="1:26" ht="21.75">
      <c r="A20" s="186" t="s">
        <v>150</v>
      </c>
      <c r="B20" s="130" t="s">
        <v>105</v>
      </c>
      <c r="C20" s="311">
        <v>4115703.4799999995</v>
      </c>
      <c r="D20" s="311">
        <v>12127.18</v>
      </c>
      <c r="E20" s="311">
        <v>0</v>
      </c>
      <c r="F20" s="311">
        <v>1</v>
      </c>
      <c r="G20" s="309">
        <v>4127831.6599999997</v>
      </c>
      <c r="H20" s="311">
        <v>1879819.86</v>
      </c>
      <c r="I20" s="311">
        <v>551248</v>
      </c>
      <c r="J20" s="311">
        <v>689081.36</v>
      </c>
      <c r="K20" s="307">
        <f t="shared" si="0"/>
        <v>3120149.22</v>
      </c>
      <c r="L20" s="307">
        <f t="shared" si="1"/>
        <v>7247980.88</v>
      </c>
      <c r="M20" s="311">
        <v>4170755.0100000002</v>
      </c>
      <c r="N20" s="311">
        <v>9091.740000000002</v>
      </c>
      <c r="O20" s="311">
        <v>0</v>
      </c>
      <c r="P20" s="311">
        <v>0</v>
      </c>
      <c r="Q20" s="309">
        <f t="shared" si="3"/>
        <v>4179846.7500000005</v>
      </c>
      <c r="R20" s="311">
        <v>1819670.5899999999</v>
      </c>
      <c r="S20" s="311">
        <v>542731.11</v>
      </c>
      <c r="T20" s="311">
        <v>551379.88</v>
      </c>
      <c r="U20" s="308">
        <f t="shared" si="4"/>
        <v>2913781.5799999996</v>
      </c>
      <c r="V20" s="308">
        <f>SUM(Q20+U20)</f>
        <v>7093628.33</v>
      </c>
      <c r="W20" s="603">
        <f>(Q20-G20)*100/G20</f>
        <v>1.2601068620128948</v>
      </c>
      <c r="X20" s="603">
        <f>(U20-K20)*100/K20</f>
        <v>-6.614031107140465</v>
      </c>
      <c r="Y20" s="603">
        <f>(V20-L20)*100/L20</f>
        <v>-2.1295937800542295</v>
      </c>
      <c r="Z20" s="184"/>
    </row>
    <row r="21" spans="1:26" ht="21.75">
      <c r="A21" s="186" t="s">
        <v>151</v>
      </c>
      <c r="B21" s="130" t="s">
        <v>121</v>
      </c>
      <c r="C21" s="311">
        <v>889505.81</v>
      </c>
      <c r="D21" s="311">
        <v>17594.8</v>
      </c>
      <c r="E21" s="311">
        <v>0</v>
      </c>
      <c r="F21" s="311">
        <v>2</v>
      </c>
      <c r="G21" s="309">
        <v>907102.6100000001</v>
      </c>
      <c r="H21" s="311">
        <v>786053.3300000001</v>
      </c>
      <c r="I21" s="311">
        <v>197631.05000000002</v>
      </c>
      <c r="J21" s="311">
        <v>341138.72000000003</v>
      </c>
      <c r="K21" s="307">
        <f t="shared" si="0"/>
        <v>1324823.1</v>
      </c>
      <c r="L21" s="307">
        <f t="shared" si="1"/>
        <v>2231925.71</v>
      </c>
      <c r="M21" s="311">
        <v>1328927.87</v>
      </c>
      <c r="N21" s="311">
        <v>11626.799999999997</v>
      </c>
      <c r="O21" s="311">
        <v>0</v>
      </c>
      <c r="P21" s="311">
        <v>0</v>
      </c>
      <c r="Q21" s="309">
        <f t="shared" si="3"/>
        <v>1340554.6700000002</v>
      </c>
      <c r="R21" s="311">
        <v>792167.37</v>
      </c>
      <c r="S21" s="311">
        <v>212011.5</v>
      </c>
      <c r="T21" s="311">
        <v>114595.65</v>
      </c>
      <c r="U21" s="308">
        <f t="shared" si="4"/>
        <v>1118774.52</v>
      </c>
      <c r="V21" s="308">
        <f>SUM(Q21+U21)</f>
        <v>2459329.1900000004</v>
      </c>
      <c r="W21" s="603">
        <f>(Q21-G21)*100/G21</f>
        <v>47.78423689024553</v>
      </c>
      <c r="X21" s="603">
        <f>(U21-K21)*100/K21</f>
        <v>-15.552912686984403</v>
      </c>
      <c r="Y21" s="603">
        <f>(V21-L21)*100/L21</f>
        <v>10.188667077095522</v>
      </c>
      <c r="Z21" s="184"/>
    </row>
    <row r="22" spans="1:26" ht="21.75">
      <c r="A22" s="186" t="s">
        <v>152</v>
      </c>
      <c r="B22" s="130" t="s">
        <v>106</v>
      </c>
      <c r="C22" s="311">
        <v>4527993.739999999</v>
      </c>
      <c r="D22" s="311">
        <v>780642.2200000001</v>
      </c>
      <c r="E22" s="311">
        <v>0</v>
      </c>
      <c r="F22" s="311">
        <v>3</v>
      </c>
      <c r="G22" s="309">
        <v>5308638.959999999</v>
      </c>
      <c r="H22" s="311">
        <v>998889.14</v>
      </c>
      <c r="I22" s="311">
        <v>686993.21</v>
      </c>
      <c r="J22" s="311">
        <v>703113.83</v>
      </c>
      <c r="K22" s="307">
        <f t="shared" si="0"/>
        <v>2388996.18</v>
      </c>
      <c r="L22" s="307">
        <f t="shared" si="1"/>
        <v>7697635.139999999</v>
      </c>
      <c r="M22" s="311">
        <v>4714211</v>
      </c>
      <c r="N22" s="311">
        <v>773364.4500000001</v>
      </c>
      <c r="O22" s="311">
        <v>0</v>
      </c>
      <c r="P22" s="311">
        <v>0</v>
      </c>
      <c r="Q22" s="309">
        <f t="shared" si="3"/>
        <v>5487575.45</v>
      </c>
      <c r="R22" s="311">
        <v>940599.0299999999</v>
      </c>
      <c r="S22" s="311">
        <v>612855.8200000001</v>
      </c>
      <c r="T22" s="311">
        <v>365540.6</v>
      </c>
      <c r="U22" s="308">
        <f t="shared" si="4"/>
        <v>1918995.4500000002</v>
      </c>
      <c r="V22" s="307">
        <f t="shared" si="2"/>
        <v>7406570.9</v>
      </c>
      <c r="W22" s="603">
        <f t="shared" si="5"/>
        <v>3.370666028491815</v>
      </c>
      <c r="X22" s="603">
        <f t="shared" si="6"/>
        <v>-19.673565572633102</v>
      </c>
      <c r="Y22" s="603">
        <f t="shared" si="7"/>
        <v>-3.781216369784947</v>
      </c>
      <c r="Z22" s="184"/>
    </row>
    <row r="23" spans="1:26" ht="21.75">
      <c r="A23" s="186" t="s">
        <v>153</v>
      </c>
      <c r="B23" s="130" t="s">
        <v>122</v>
      </c>
      <c r="C23" s="311">
        <v>2452194</v>
      </c>
      <c r="D23" s="311">
        <v>42958.58</v>
      </c>
      <c r="E23" s="311">
        <v>0</v>
      </c>
      <c r="F23" s="311">
        <v>2</v>
      </c>
      <c r="G23" s="309">
        <v>2495154.58</v>
      </c>
      <c r="H23" s="311">
        <v>1043920.84</v>
      </c>
      <c r="I23" s="311">
        <v>287592</v>
      </c>
      <c r="J23" s="311">
        <v>530793.18</v>
      </c>
      <c r="K23" s="307">
        <f t="shared" si="0"/>
        <v>1862306.02</v>
      </c>
      <c r="L23" s="307">
        <f t="shared" si="1"/>
        <v>4357460.6</v>
      </c>
      <c r="M23" s="311">
        <v>2573303</v>
      </c>
      <c r="N23" s="311">
        <v>36278.969999999994</v>
      </c>
      <c r="O23" s="311">
        <v>0</v>
      </c>
      <c r="P23" s="311">
        <v>0</v>
      </c>
      <c r="Q23" s="309">
        <f t="shared" si="3"/>
        <v>2609581.97</v>
      </c>
      <c r="R23" s="311">
        <v>1130142.99</v>
      </c>
      <c r="S23" s="311">
        <v>390221.06</v>
      </c>
      <c r="T23" s="311">
        <v>180981.09999999998</v>
      </c>
      <c r="U23" s="308">
        <f t="shared" si="4"/>
        <v>1701345.15</v>
      </c>
      <c r="V23" s="307">
        <f t="shared" si="2"/>
        <v>4310927.12</v>
      </c>
      <c r="W23" s="603">
        <f t="shared" si="5"/>
        <v>4.58598400745176</v>
      </c>
      <c r="X23" s="603">
        <f t="shared" si="6"/>
        <v>-8.643094543613199</v>
      </c>
      <c r="Y23" s="603">
        <f t="shared" si="7"/>
        <v>-1.0679036317620294</v>
      </c>
      <c r="Z23" s="184"/>
    </row>
    <row r="24" spans="1:26" ht="21.75">
      <c r="A24" s="186" t="s">
        <v>154</v>
      </c>
      <c r="B24" s="130" t="s">
        <v>123</v>
      </c>
      <c r="C24" s="311">
        <v>6687567.54</v>
      </c>
      <c r="D24" s="311">
        <v>2891439.8599999994</v>
      </c>
      <c r="E24" s="311">
        <v>0</v>
      </c>
      <c r="F24" s="311">
        <v>6714.889999999999</v>
      </c>
      <c r="G24" s="309">
        <v>9585722.29</v>
      </c>
      <c r="H24" s="311">
        <v>3100055.7899999996</v>
      </c>
      <c r="I24" s="311">
        <v>1078480.1</v>
      </c>
      <c r="J24" s="311">
        <v>525437.3</v>
      </c>
      <c r="K24" s="307">
        <f t="shared" si="0"/>
        <v>4703973.1899999995</v>
      </c>
      <c r="L24" s="307">
        <f t="shared" si="1"/>
        <v>14289695.479999999</v>
      </c>
      <c r="M24" s="311">
        <v>6822213.74</v>
      </c>
      <c r="N24" s="311">
        <v>3405250.1299999994</v>
      </c>
      <c r="O24" s="311">
        <v>0</v>
      </c>
      <c r="P24" s="311">
        <v>1</v>
      </c>
      <c r="Q24" s="309">
        <f t="shared" si="3"/>
        <v>10227464.87</v>
      </c>
      <c r="R24" s="311">
        <v>2933490.59</v>
      </c>
      <c r="S24" s="311">
        <v>696485</v>
      </c>
      <c r="T24" s="311">
        <v>502856.79000000004</v>
      </c>
      <c r="U24" s="308">
        <f t="shared" si="4"/>
        <v>4132832.38</v>
      </c>
      <c r="V24" s="307">
        <f t="shared" si="2"/>
        <v>14360297.25</v>
      </c>
      <c r="W24" s="603">
        <f t="shared" si="5"/>
        <v>6.69477542312568</v>
      </c>
      <c r="X24" s="603">
        <f t="shared" si="6"/>
        <v>-12.141668052321522</v>
      </c>
      <c r="Y24" s="603">
        <f t="shared" si="7"/>
        <v>0.49407469948408883</v>
      </c>
      <c r="Z24" s="184"/>
    </row>
    <row r="25" spans="1:26" ht="21.75">
      <c r="A25" s="186" t="s">
        <v>155</v>
      </c>
      <c r="B25" s="130" t="s">
        <v>107</v>
      </c>
      <c r="C25" s="311">
        <v>2808920.3</v>
      </c>
      <c r="D25" s="311">
        <v>185761.93000000002</v>
      </c>
      <c r="E25" s="311">
        <v>0</v>
      </c>
      <c r="F25" s="311">
        <v>1</v>
      </c>
      <c r="G25" s="309">
        <v>2994683.23</v>
      </c>
      <c r="H25" s="311">
        <v>1406824.62</v>
      </c>
      <c r="I25" s="311">
        <v>303045.85</v>
      </c>
      <c r="J25" s="311">
        <v>583253.2</v>
      </c>
      <c r="K25" s="307">
        <f t="shared" si="0"/>
        <v>2293123.67</v>
      </c>
      <c r="L25" s="307">
        <f t="shared" si="1"/>
        <v>5287806.9</v>
      </c>
      <c r="M25" s="311">
        <v>2674802.1</v>
      </c>
      <c r="N25" s="311">
        <v>185645.18000000005</v>
      </c>
      <c r="O25" s="311">
        <v>0</v>
      </c>
      <c r="P25" s="311">
        <v>0</v>
      </c>
      <c r="Q25" s="309">
        <f t="shared" si="3"/>
        <v>2860447.2800000003</v>
      </c>
      <c r="R25" s="311">
        <v>1443617.28</v>
      </c>
      <c r="S25" s="311">
        <v>522993</v>
      </c>
      <c r="T25" s="311">
        <v>185280.5</v>
      </c>
      <c r="U25" s="308">
        <f t="shared" si="4"/>
        <v>2151890.7800000003</v>
      </c>
      <c r="V25" s="307">
        <f t="shared" si="2"/>
        <v>5012338.0600000005</v>
      </c>
      <c r="W25" s="603">
        <f aca="true" t="shared" si="8" ref="W25:W40">(Q25-G25)*100/G25</f>
        <v>-4.482475764222973</v>
      </c>
      <c r="X25" s="603">
        <f aca="true" t="shared" si="9" ref="X25:X40">(U25-K25)*100/K25</f>
        <v>-6.158973972825446</v>
      </c>
      <c r="Y25" s="603">
        <f aca="true" t="shared" si="10" ref="Y25:Y40">(V25-L25)*100/L25</f>
        <v>-5.209510203559057</v>
      </c>
      <c r="Z25" s="191"/>
    </row>
    <row r="26" spans="1:26" ht="21.75">
      <c r="A26" s="186" t="s">
        <v>156</v>
      </c>
      <c r="B26" s="130" t="s">
        <v>124</v>
      </c>
      <c r="C26" s="311">
        <v>3182737</v>
      </c>
      <c r="D26" s="311">
        <v>37839.43</v>
      </c>
      <c r="E26" s="311">
        <v>0</v>
      </c>
      <c r="F26" s="311">
        <v>0</v>
      </c>
      <c r="G26" s="309">
        <v>3220576.43</v>
      </c>
      <c r="H26" s="311">
        <v>1156033.17</v>
      </c>
      <c r="I26" s="311">
        <v>559988</v>
      </c>
      <c r="J26" s="311">
        <v>683675.83</v>
      </c>
      <c r="K26" s="307">
        <f t="shared" si="0"/>
        <v>2399697</v>
      </c>
      <c r="L26" s="307">
        <f t="shared" si="1"/>
        <v>5620273.43</v>
      </c>
      <c r="M26" s="311">
        <v>3104991.8400000003</v>
      </c>
      <c r="N26" s="311">
        <v>76472.58</v>
      </c>
      <c r="O26" s="311">
        <v>0</v>
      </c>
      <c r="P26" s="311">
        <v>2</v>
      </c>
      <c r="Q26" s="309">
        <f t="shared" si="3"/>
        <v>3181466.4200000004</v>
      </c>
      <c r="R26" s="311">
        <v>1172134.0899999999</v>
      </c>
      <c r="S26" s="311">
        <v>842422.74</v>
      </c>
      <c r="T26" s="311">
        <v>539868.98</v>
      </c>
      <c r="U26" s="308">
        <f t="shared" si="4"/>
        <v>2554425.8099999996</v>
      </c>
      <c r="V26" s="307">
        <f t="shared" si="2"/>
        <v>5735892.23</v>
      </c>
      <c r="W26" s="603">
        <f t="shared" si="8"/>
        <v>-1.2143791911188946</v>
      </c>
      <c r="X26" s="603">
        <f t="shared" si="9"/>
        <v>6.44784779078357</v>
      </c>
      <c r="Y26" s="603">
        <f t="shared" si="10"/>
        <v>2.0571739336176877</v>
      </c>
      <c r="Z26" s="192"/>
    </row>
    <row r="27" spans="1:26" ht="21.75">
      <c r="A27" s="186" t="s">
        <v>157</v>
      </c>
      <c r="B27" s="130" t="s">
        <v>231</v>
      </c>
      <c r="C27" s="311">
        <v>13484938.8</v>
      </c>
      <c r="D27" s="312">
        <v>620422.79</v>
      </c>
      <c r="E27" s="312">
        <v>1494534.4</v>
      </c>
      <c r="F27" s="312">
        <v>0</v>
      </c>
      <c r="G27" s="309">
        <v>15599895.99</v>
      </c>
      <c r="H27" s="311">
        <v>19802055.44</v>
      </c>
      <c r="I27" s="311">
        <v>0</v>
      </c>
      <c r="J27" s="311">
        <v>2506143.27</v>
      </c>
      <c r="K27" s="307">
        <f t="shared" si="0"/>
        <v>22308198.71</v>
      </c>
      <c r="L27" s="307">
        <f t="shared" si="1"/>
        <v>37908094.7</v>
      </c>
      <c r="M27" s="311">
        <v>11844746.13</v>
      </c>
      <c r="N27" s="312">
        <v>606614.03</v>
      </c>
      <c r="O27" s="312">
        <v>1199024.93</v>
      </c>
      <c r="P27" s="312">
        <v>0</v>
      </c>
      <c r="Q27" s="309">
        <f t="shared" si="3"/>
        <v>13650385.09</v>
      </c>
      <c r="R27" s="311">
        <v>18702488.89</v>
      </c>
      <c r="S27" s="311">
        <v>0</v>
      </c>
      <c r="T27" s="311">
        <v>5709726.49</v>
      </c>
      <c r="U27" s="308">
        <f t="shared" si="4"/>
        <v>24412215.380000003</v>
      </c>
      <c r="V27" s="307">
        <f t="shared" si="2"/>
        <v>38062600.47</v>
      </c>
      <c r="W27" s="603">
        <f t="shared" si="8"/>
        <v>-12.496948064587707</v>
      </c>
      <c r="X27" s="603">
        <f t="shared" si="9"/>
        <v>9.43158476106295</v>
      </c>
      <c r="Y27" s="603">
        <f t="shared" si="10"/>
        <v>0.4075798882078761</v>
      </c>
      <c r="Z27" s="184"/>
    </row>
    <row r="28" spans="1:26" ht="21.75">
      <c r="A28" s="186" t="s">
        <v>158</v>
      </c>
      <c r="B28" s="130" t="s">
        <v>125</v>
      </c>
      <c r="C28" s="311">
        <v>5626252.960000001</v>
      </c>
      <c r="D28" s="311">
        <v>388175.39999999997</v>
      </c>
      <c r="E28" s="311">
        <v>137853.48</v>
      </c>
      <c r="F28" s="312">
        <v>0</v>
      </c>
      <c r="G28" s="309">
        <v>6152281.840000002</v>
      </c>
      <c r="H28" s="311">
        <v>4233955.789999999</v>
      </c>
      <c r="I28" s="311">
        <v>201491.19</v>
      </c>
      <c r="J28" s="311">
        <v>1054848.1099999999</v>
      </c>
      <c r="K28" s="307">
        <f t="shared" si="0"/>
        <v>5490295.09</v>
      </c>
      <c r="L28" s="307">
        <f t="shared" si="1"/>
        <v>11642576.930000002</v>
      </c>
      <c r="M28" s="311">
        <v>5241297.400000001</v>
      </c>
      <c r="N28" s="311">
        <v>334313.06</v>
      </c>
      <c r="O28" s="311">
        <v>332222.11</v>
      </c>
      <c r="P28" s="312">
        <v>0</v>
      </c>
      <c r="Q28" s="309">
        <f t="shared" si="3"/>
        <v>5907832.570000001</v>
      </c>
      <c r="R28" s="311">
        <v>4177472.7000000007</v>
      </c>
      <c r="S28" s="311">
        <v>336039.08</v>
      </c>
      <c r="T28" s="311">
        <v>1893280.32</v>
      </c>
      <c r="U28" s="308">
        <f t="shared" si="4"/>
        <v>6406792.100000001</v>
      </c>
      <c r="V28" s="307">
        <f t="shared" si="2"/>
        <v>12314624.670000002</v>
      </c>
      <c r="W28" s="603">
        <f t="shared" si="8"/>
        <v>-3.9733106570423375</v>
      </c>
      <c r="X28" s="603">
        <f t="shared" si="9"/>
        <v>16.693037350019758</v>
      </c>
      <c r="Y28" s="603">
        <f t="shared" si="10"/>
        <v>5.772328102623928</v>
      </c>
      <c r="Z28" s="184"/>
    </row>
    <row r="29" spans="1:26" ht="21.75">
      <c r="A29" s="186" t="s">
        <v>159</v>
      </c>
      <c r="B29" s="130" t="s">
        <v>126</v>
      </c>
      <c r="C29" s="311">
        <v>10134026.309999999</v>
      </c>
      <c r="D29" s="311">
        <v>534234.92</v>
      </c>
      <c r="E29" s="311">
        <v>337129.62</v>
      </c>
      <c r="F29" s="312">
        <v>0</v>
      </c>
      <c r="G29" s="309">
        <v>11005390.849999998</v>
      </c>
      <c r="H29" s="311">
        <v>12791161.660000002</v>
      </c>
      <c r="I29" s="311">
        <v>684757.53</v>
      </c>
      <c r="J29" s="311">
        <v>4868075.17</v>
      </c>
      <c r="K29" s="307">
        <f t="shared" si="0"/>
        <v>18343994.36</v>
      </c>
      <c r="L29" s="307">
        <f t="shared" si="1"/>
        <v>29349385.209999997</v>
      </c>
      <c r="M29" s="311">
        <v>9169495.61</v>
      </c>
      <c r="N29" s="311">
        <v>533353.1500000001</v>
      </c>
      <c r="O29" s="311">
        <v>81896.11</v>
      </c>
      <c r="P29" s="312">
        <v>0</v>
      </c>
      <c r="Q29" s="309">
        <f t="shared" si="3"/>
        <v>9784744.87</v>
      </c>
      <c r="R29" s="311">
        <v>15796129.14</v>
      </c>
      <c r="S29" s="311">
        <v>0</v>
      </c>
      <c r="T29" s="311">
        <v>5192885.18</v>
      </c>
      <c r="U29" s="308">
        <f t="shared" si="4"/>
        <v>20989014.32</v>
      </c>
      <c r="V29" s="307">
        <f t="shared" si="2"/>
        <v>30773759.189999998</v>
      </c>
      <c r="W29" s="603">
        <f t="shared" si="8"/>
        <v>-11.091346019755388</v>
      </c>
      <c r="X29" s="603">
        <f t="shared" si="9"/>
        <v>14.418996801305171</v>
      </c>
      <c r="Y29" s="603">
        <f t="shared" si="10"/>
        <v>4.853164622728398</v>
      </c>
      <c r="Z29" s="184"/>
    </row>
    <row r="30" spans="1:26" ht="21.75">
      <c r="A30" s="186" t="s">
        <v>160</v>
      </c>
      <c r="B30" s="130" t="s">
        <v>127</v>
      </c>
      <c r="C30" s="311">
        <v>12847114.87</v>
      </c>
      <c r="D30" s="311">
        <v>532440.1499999999</v>
      </c>
      <c r="E30" s="311">
        <v>259742.11</v>
      </c>
      <c r="F30" s="312">
        <v>2</v>
      </c>
      <c r="G30" s="309">
        <v>13639299.129999999</v>
      </c>
      <c r="H30" s="311">
        <v>5004079.7</v>
      </c>
      <c r="I30" s="311">
        <v>191830.55000000002</v>
      </c>
      <c r="J30" s="311">
        <v>4080571.5200000005</v>
      </c>
      <c r="K30" s="307">
        <f t="shared" si="0"/>
        <v>9276481.77</v>
      </c>
      <c r="L30" s="307">
        <f t="shared" si="1"/>
        <v>22915780.9</v>
      </c>
      <c r="M30" s="311">
        <v>13111438.280000001</v>
      </c>
      <c r="N30" s="311">
        <v>473687.7099999999</v>
      </c>
      <c r="O30" s="311">
        <v>118751.94</v>
      </c>
      <c r="P30" s="312">
        <v>0</v>
      </c>
      <c r="Q30" s="309">
        <f t="shared" si="3"/>
        <v>13703877.93</v>
      </c>
      <c r="R30" s="311">
        <v>5285987.55</v>
      </c>
      <c r="S30" s="311">
        <v>2257974.4000000004</v>
      </c>
      <c r="T30" s="311">
        <v>3611760.64</v>
      </c>
      <c r="U30" s="308">
        <f t="shared" si="4"/>
        <v>11155722.59</v>
      </c>
      <c r="V30" s="307">
        <f t="shared" si="2"/>
        <v>24859600.52</v>
      </c>
      <c r="W30" s="603">
        <f t="shared" si="8"/>
        <v>0.4734759417216532</v>
      </c>
      <c r="X30" s="603">
        <f t="shared" si="9"/>
        <v>20.258120121331306</v>
      </c>
      <c r="Y30" s="603">
        <f t="shared" si="10"/>
        <v>8.482449838748463</v>
      </c>
      <c r="Z30" s="184"/>
    </row>
    <row r="31" spans="1:26" ht="21.75">
      <c r="A31" s="186" t="s">
        <v>161</v>
      </c>
      <c r="B31" s="130" t="s">
        <v>128</v>
      </c>
      <c r="C31" s="311">
        <v>14666390.08</v>
      </c>
      <c r="D31" s="312">
        <v>540405.35</v>
      </c>
      <c r="E31" s="312">
        <v>270924.15</v>
      </c>
      <c r="F31" s="312">
        <v>0</v>
      </c>
      <c r="G31" s="309">
        <v>15477719.58</v>
      </c>
      <c r="H31" s="311">
        <v>4079763.079999999</v>
      </c>
      <c r="I31" s="311">
        <v>1736229.8099999998</v>
      </c>
      <c r="J31" s="311">
        <v>1697622.4100000001</v>
      </c>
      <c r="K31" s="307">
        <f t="shared" si="0"/>
        <v>7513615.299999999</v>
      </c>
      <c r="L31" s="307">
        <f t="shared" si="1"/>
        <v>22991334.88</v>
      </c>
      <c r="M31" s="311">
        <v>14472233.869999997</v>
      </c>
      <c r="N31" s="312">
        <v>544937.2</v>
      </c>
      <c r="O31" s="312">
        <v>205645.67</v>
      </c>
      <c r="P31" s="312">
        <v>0</v>
      </c>
      <c r="Q31" s="309">
        <f t="shared" si="3"/>
        <v>15222816.739999996</v>
      </c>
      <c r="R31" s="311">
        <v>8040642.260000001</v>
      </c>
      <c r="S31" s="311">
        <v>2444386.4699999997</v>
      </c>
      <c r="T31" s="311">
        <v>4251904.75</v>
      </c>
      <c r="U31" s="308">
        <f t="shared" si="4"/>
        <v>14736933.48</v>
      </c>
      <c r="V31" s="307">
        <f t="shared" si="2"/>
        <v>29959750.22</v>
      </c>
      <c r="W31" s="603">
        <f t="shared" si="8"/>
        <v>-1.646901784739555</v>
      </c>
      <c r="X31" s="603">
        <f t="shared" si="9"/>
        <v>96.13638563582037</v>
      </c>
      <c r="Y31" s="603">
        <f t="shared" si="10"/>
        <v>30.308876697984925</v>
      </c>
      <c r="Z31" s="184"/>
    </row>
    <row r="32" spans="1:26" ht="21.75">
      <c r="A32" s="186" t="s">
        <v>162</v>
      </c>
      <c r="B32" s="130" t="s">
        <v>129</v>
      </c>
      <c r="C32" s="311">
        <v>7528864.850000001</v>
      </c>
      <c r="D32" s="311">
        <v>36400.33</v>
      </c>
      <c r="E32" s="311">
        <v>203393.83</v>
      </c>
      <c r="F32" s="312">
        <v>0</v>
      </c>
      <c r="G32" s="309">
        <v>7768659.010000001</v>
      </c>
      <c r="H32" s="311">
        <v>7557873.080000001</v>
      </c>
      <c r="I32" s="311">
        <v>0</v>
      </c>
      <c r="J32" s="311">
        <v>1908592.15</v>
      </c>
      <c r="K32" s="307">
        <f t="shared" si="0"/>
        <v>9466465.23</v>
      </c>
      <c r="L32" s="307">
        <f t="shared" si="1"/>
        <v>17235124.240000002</v>
      </c>
      <c r="M32" s="311">
        <v>6864108.86</v>
      </c>
      <c r="N32" s="311">
        <v>35782.33</v>
      </c>
      <c r="O32" s="311">
        <v>69161.69</v>
      </c>
      <c r="P32" s="312">
        <v>0</v>
      </c>
      <c r="Q32" s="309">
        <f t="shared" si="3"/>
        <v>6969052.880000001</v>
      </c>
      <c r="R32" s="311">
        <v>6336041.09</v>
      </c>
      <c r="S32" s="311">
        <v>645287.6000000001</v>
      </c>
      <c r="T32" s="311">
        <v>1865239.3800000001</v>
      </c>
      <c r="U32" s="308">
        <f t="shared" si="4"/>
        <v>8846568.07</v>
      </c>
      <c r="V32" s="307">
        <f t="shared" si="2"/>
        <v>15815620.950000001</v>
      </c>
      <c r="W32" s="603">
        <f t="shared" si="8"/>
        <v>-10.292717558728322</v>
      </c>
      <c r="X32" s="603">
        <f t="shared" si="9"/>
        <v>-6.548348775797491</v>
      </c>
      <c r="Y32" s="603">
        <f t="shared" si="10"/>
        <v>-8.236107092895553</v>
      </c>
      <c r="Z32" s="184"/>
    </row>
    <row r="33" spans="1:26" ht="21.75">
      <c r="A33" s="186" t="s">
        <v>163</v>
      </c>
      <c r="B33" s="130" t="s">
        <v>130</v>
      </c>
      <c r="C33" s="311">
        <v>14408661.170000002</v>
      </c>
      <c r="D33" s="311">
        <v>430785.63</v>
      </c>
      <c r="E33" s="311">
        <v>280581.64999999997</v>
      </c>
      <c r="F33" s="312">
        <v>1</v>
      </c>
      <c r="G33" s="309">
        <v>15120029.450000003</v>
      </c>
      <c r="H33" s="311">
        <v>5153799.69</v>
      </c>
      <c r="I33" s="311">
        <v>1403242.68</v>
      </c>
      <c r="J33" s="311">
        <v>4964676.8100000005</v>
      </c>
      <c r="K33" s="307">
        <f t="shared" si="0"/>
        <v>11521719.18</v>
      </c>
      <c r="L33" s="307">
        <f t="shared" si="1"/>
        <v>26641748.630000003</v>
      </c>
      <c r="M33" s="311">
        <v>13432874.79</v>
      </c>
      <c r="N33" s="311">
        <v>454931.68000000005</v>
      </c>
      <c r="O33" s="311">
        <v>174006.19</v>
      </c>
      <c r="P33" s="312">
        <v>2</v>
      </c>
      <c r="Q33" s="309">
        <f t="shared" si="3"/>
        <v>14061814.659999998</v>
      </c>
      <c r="R33" s="311">
        <v>9062582.34</v>
      </c>
      <c r="S33" s="311">
        <v>1144627.4600000002</v>
      </c>
      <c r="T33" s="311">
        <v>1541151.33</v>
      </c>
      <c r="U33" s="308">
        <f t="shared" si="4"/>
        <v>11748361.13</v>
      </c>
      <c r="V33" s="307">
        <f t="shared" si="2"/>
        <v>25810175.79</v>
      </c>
      <c r="W33" s="603">
        <f t="shared" si="8"/>
        <v>-6.998761434290755</v>
      </c>
      <c r="X33" s="603">
        <f t="shared" si="9"/>
        <v>1.9670844815712747</v>
      </c>
      <c r="Y33" s="603">
        <f t="shared" si="10"/>
        <v>-3.1213147888634047</v>
      </c>
      <c r="Z33" s="184"/>
    </row>
    <row r="34" spans="1:26" ht="21.75">
      <c r="A34" s="186" t="s">
        <v>164</v>
      </c>
      <c r="B34" s="130" t="s">
        <v>131</v>
      </c>
      <c r="C34" s="311">
        <v>5987982.420000001</v>
      </c>
      <c r="D34" s="311">
        <v>30169.05</v>
      </c>
      <c r="E34" s="311">
        <v>181121.15</v>
      </c>
      <c r="F34" s="312">
        <v>0</v>
      </c>
      <c r="G34" s="309">
        <v>6199272.620000001</v>
      </c>
      <c r="H34" s="311">
        <v>6437154.429999998</v>
      </c>
      <c r="I34" s="311">
        <v>602683.69</v>
      </c>
      <c r="J34" s="311">
        <v>1116436.56</v>
      </c>
      <c r="K34" s="307">
        <f t="shared" si="0"/>
        <v>8156274.679999998</v>
      </c>
      <c r="L34" s="307">
        <f t="shared" si="1"/>
        <v>14355547.299999999</v>
      </c>
      <c r="M34" s="311">
        <v>5869178.89</v>
      </c>
      <c r="N34" s="311">
        <v>29529.89</v>
      </c>
      <c r="O34" s="311">
        <v>161980.38</v>
      </c>
      <c r="P34" s="312">
        <v>0</v>
      </c>
      <c r="Q34" s="309">
        <f t="shared" si="3"/>
        <v>6060689.159999999</v>
      </c>
      <c r="R34" s="311">
        <v>4313809.75</v>
      </c>
      <c r="S34" s="311">
        <v>440566.39999999997</v>
      </c>
      <c r="T34" s="311">
        <v>1029283.3200000001</v>
      </c>
      <c r="U34" s="308">
        <f t="shared" si="4"/>
        <v>5783659.470000001</v>
      </c>
      <c r="V34" s="307">
        <f t="shared" si="2"/>
        <v>11844348.629999999</v>
      </c>
      <c r="W34" s="603">
        <f t="shared" si="8"/>
        <v>-2.2354793617707007</v>
      </c>
      <c r="X34" s="603">
        <f t="shared" si="9"/>
        <v>-29.08944711999324</v>
      </c>
      <c r="Y34" s="603">
        <f t="shared" si="10"/>
        <v>-17.49288005202003</v>
      </c>
      <c r="Z34" s="184"/>
    </row>
    <row r="35" spans="1:26" ht="21.75">
      <c r="A35" s="186" t="s">
        <v>165</v>
      </c>
      <c r="B35" s="130" t="s">
        <v>132</v>
      </c>
      <c r="C35" s="311">
        <v>6161498.83</v>
      </c>
      <c r="D35" s="311">
        <v>54072.45</v>
      </c>
      <c r="E35" s="311">
        <v>168694.91</v>
      </c>
      <c r="F35" s="312">
        <v>0</v>
      </c>
      <c r="G35" s="309">
        <v>6384266.19</v>
      </c>
      <c r="H35" s="311">
        <v>5413895.709999999</v>
      </c>
      <c r="I35" s="311">
        <v>967715.6799999999</v>
      </c>
      <c r="J35" s="311">
        <v>1371596.1</v>
      </c>
      <c r="K35" s="307">
        <f t="shared" si="0"/>
        <v>7753207.489999998</v>
      </c>
      <c r="L35" s="307">
        <f t="shared" si="1"/>
        <v>14137473.68</v>
      </c>
      <c r="M35" s="311">
        <v>6163303.47</v>
      </c>
      <c r="N35" s="311">
        <v>44095.4</v>
      </c>
      <c r="O35" s="311">
        <v>41311.33</v>
      </c>
      <c r="P35" s="312">
        <v>0</v>
      </c>
      <c r="Q35" s="309">
        <f t="shared" si="3"/>
        <v>6248710.2</v>
      </c>
      <c r="R35" s="311">
        <v>4623423.27</v>
      </c>
      <c r="S35" s="311">
        <v>297847.89</v>
      </c>
      <c r="T35" s="311">
        <v>737768.3600000001</v>
      </c>
      <c r="U35" s="308">
        <f t="shared" si="4"/>
        <v>5659039.52</v>
      </c>
      <c r="V35" s="307">
        <f t="shared" si="2"/>
        <v>11907749.719999999</v>
      </c>
      <c r="W35" s="603">
        <f t="shared" si="8"/>
        <v>-2.123282237390547</v>
      </c>
      <c r="X35" s="603">
        <f t="shared" si="9"/>
        <v>-27.010343431425426</v>
      </c>
      <c r="Y35" s="603">
        <f t="shared" si="10"/>
        <v>-15.771728460611365</v>
      </c>
      <c r="Z35" s="184"/>
    </row>
    <row r="36" spans="1:26" ht="24">
      <c r="A36" s="186" t="s">
        <v>166</v>
      </c>
      <c r="B36" s="130" t="s">
        <v>133</v>
      </c>
      <c r="C36" s="311">
        <v>4788918.25</v>
      </c>
      <c r="D36" s="311">
        <v>76359.06999999998</v>
      </c>
      <c r="E36" s="311">
        <v>117472.02</v>
      </c>
      <c r="F36" s="312">
        <v>0</v>
      </c>
      <c r="G36" s="309">
        <v>4982749.34</v>
      </c>
      <c r="H36" s="311">
        <v>3883490.81</v>
      </c>
      <c r="I36" s="311">
        <v>341821.24</v>
      </c>
      <c r="J36" s="311">
        <v>629675.29</v>
      </c>
      <c r="K36" s="307">
        <f t="shared" si="0"/>
        <v>4854987.34</v>
      </c>
      <c r="L36" s="307">
        <f t="shared" si="1"/>
        <v>9837736.68</v>
      </c>
      <c r="M36" s="311">
        <v>4780659.790000001</v>
      </c>
      <c r="N36" s="311">
        <v>26751.099999999995</v>
      </c>
      <c r="O36" s="311">
        <v>81689.46</v>
      </c>
      <c r="P36" s="312">
        <v>0</v>
      </c>
      <c r="Q36" s="309">
        <f t="shared" si="3"/>
        <v>4889100.350000001</v>
      </c>
      <c r="R36" s="311">
        <v>3901133.55</v>
      </c>
      <c r="S36" s="311">
        <v>43753.79</v>
      </c>
      <c r="T36" s="311">
        <v>671053.79</v>
      </c>
      <c r="U36" s="308">
        <f t="shared" si="4"/>
        <v>4615941.13</v>
      </c>
      <c r="V36" s="307">
        <f t="shared" si="2"/>
        <v>9505041.48</v>
      </c>
      <c r="W36" s="603">
        <f t="shared" si="8"/>
        <v>-1.8794641995778036</v>
      </c>
      <c r="X36" s="603">
        <f t="shared" si="9"/>
        <v>-4.923724682668276</v>
      </c>
      <c r="Y36" s="603">
        <f t="shared" si="10"/>
        <v>-3.381826641857213</v>
      </c>
      <c r="Z36" s="136"/>
    </row>
    <row r="37" spans="1:26" ht="24">
      <c r="A37" s="186" t="s">
        <v>167</v>
      </c>
      <c r="B37" s="130" t="s">
        <v>120</v>
      </c>
      <c r="C37" s="311">
        <v>6046695.8</v>
      </c>
      <c r="D37" s="311">
        <v>28505.329999999987</v>
      </c>
      <c r="E37" s="311">
        <v>232465.84</v>
      </c>
      <c r="F37" s="312">
        <v>0</v>
      </c>
      <c r="G37" s="309">
        <v>6307666.97</v>
      </c>
      <c r="H37" s="311">
        <v>10603869.17</v>
      </c>
      <c r="I37" s="311">
        <v>1054513.55</v>
      </c>
      <c r="J37" s="311">
        <v>1071875.64</v>
      </c>
      <c r="K37" s="307">
        <f t="shared" si="0"/>
        <v>12730258.360000001</v>
      </c>
      <c r="L37" s="307">
        <f t="shared" si="1"/>
        <v>19037925.330000002</v>
      </c>
      <c r="M37" s="311">
        <v>5586053.61</v>
      </c>
      <c r="N37" s="311">
        <v>14456.920000000002</v>
      </c>
      <c r="O37" s="311">
        <v>95792.33</v>
      </c>
      <c r="P37" s="312">
        <v>0</v>
      </c>
      <c r="Q37" s="309">
        <f t="shared" si="3"/>
        <v>5696302.86</v>
      </c>
      <c r="R37" s="311">
        <v>9184403.84</v>
      </c>
      <c r="S37" s="311">
        <v>532706.95</v>
      </c>
      <c r="T37" s="311">
        <v>1415366.7100000002</v>
      </c>
      <c r="U37" s="308">
        <f t="shared" si="4"/>
        <v>11132477.5</v>
      </c>
      <c r="V37" s="307">
        <f t="shared" si="2"/>
        <v>16828780.36</v>
      </c>
      <c r="W37" s="603">
        <f t="shared" si="8"/>
        <v>-9.692396775348453</v>
      </c>
      <c r="X37" s="603">
        <f t="shared" si="9"/>
        <v>-12.551048178412627</v>
      </c>
      <c r="Y37" s="603">
        <f t="shared" si="10"/>
        <v>-11.603916559746283</v>
      </c>
      <c r="Z37" s="136"/>
    </row>
    <row r="38" spans="1:26" ht="21.75">
      <c r="A38" s="186" t="s">
        <v>168</v>
      </c>
      <c r="B38" s="130" t="s">
        <v>136</v>
      </c>
      <c r="C38" s="311">
        <v>6002937.68</v>
      </c>
      <c r="D38" s="311">
        <v>300354.74</v>
      </c>
      <c r="E38" s="311">
        <v>181222.3</v>
      </c>
      <c r="F38" s="312">
        <v>0</v>
      </c>
      <c r="G38" s="309">
        <v>6484514.72</v>
      </c>
      <c r="H38" s="311">
        <v>7701216.82</v>
      </c>
      <c r="I38" s="311">
        <v>273394.24</v>
      </c>
      <c r="J38" s="311">
        <v>614801.17</v>
      </c>
      <c r="K38" s="307">
        <f t="shared" si="0"/>
        <v>8589412.23</v>
      </c>
      <c r="L38" s="307">
        <f>SUM(G38+K38)</f>
        <v>15073926.95</v>
      </c>
      <c r="M38" s="311">
        <v>5874059.83</v>
      </c>
      <c r="N38" s="311">
        <v>263875.26</v>
      </c>
      <c r="O38" s="311">
        <v>206234.04</v>
      </c>
      <c r="P38" s="312">
        <v>0</v>
      </c>
      <c r="Q38" s="309">
        <f t="shared" si="3"/>
        <v>6344169.13</v>
      </c>
      <c r="R38" s="311">
        <v>6745738.9799999995</v>
      </c>
      <c r="S38" s="311">
        <v>277869.36</v>
      </c>
      <c r="T38" s="311">
        <v>513114.31</v>
      </c>
      <c r="U38" s="308">
        <f t="shared" si="4"/>
        <v>7536722.649999999</v>
      </c>
      <c r="V38" s="307">
        <f t="shared" si="2"/>
        <v>13880891.78</v>
      </c>
      <c r="W38" s="603">
        <f t="shared" si="8"/>
        <v>-2.164319090326621</v>
      </c>
      <c r="X38" s="603">
        <f t="shared" si="9"/>
        <v>-12.255664902463309</v>
      </c>
      <c r="Y38" s="603">
        <f t="shared" si="10"/>
        <v>-7.914561175447385</v>
      </c>
      <c r="Z38" s="184"/>
    </row>
    <row r="39" spans="1:26" ht="21.75">
      <c r="A39" s="186" t="s">
        <v>169</v>
      </c>
      <c r="B39" s="130" t="s">
        <v>134</v>
      </c>
      <c r="C39" s="311">
        <v>5350201.330000001</v>
      </c>
      <c r="D39" s="311">
        <v>390989.21</v>
      </c>
      <c r="E39" s="311">
        <v>178460.09</v>
      </c>
      <c r="F39" s="312">
        <v>0</v>
      </c>
      <c r="G39" s="309">
        <v>5919650.630000001</v>
      </c>
      <c r="H39" s="311">
        <v>7233365.14</v>
      </c>
      <c r="I39" s="311">
        <v>288428.02999999997</v>
      </c>
      <c r="J39" s="311">
        <v>3162257.7</v>
      </c>
      <c r="K39" s="307">
        <f t="shared" si="0"/>
        <v>10684050.870000001</v>
      </c>
      <c r="L39" s="307">
        <f>SUM(G39+K39)</f>
        <v>16603701.500000002</v>
      </c>
      <c r="M39" s="311">
        <v>4929036.720000001</v>
      </c>
      <c r="N39" s="311">
        <v>301612.21</v>
      </c>
      <c r="O39" s="311">
        <v>418514.91</v>
      </c>
      <c r="P39" s="312">
        <v>0</v>
      </c>
      <c r="Q39" s="309">
        <f t="shared" si="3"/>
        <v>5649163.840000001</v>
      </c>
      <c r="R39" s="311">
        <v>4884930.350000001</v>
      </c>
      <c r="S39" s="311">
        <v>270602.10000000003</v>
      </c>
      <c r="T39" s="311">
        <v>1039246.8</v>
      </c>
      <c r="U39" s="308">
        <f t="shared" si="4"/>
        <v>6194779.25</v>
      </c>
      <c r="V39" s="307">
        <f t="shared" si="2"/>
        <v>11843943.09</v>
      </c>
      <c r="W39" s="603">
        <f t="shared" si="8"/>
        <v>-4.569303273223745</v>
      </c>
      <c r="X39" s="603">
        <f t="shared" si="9"/>
        <v>-42.01844108216981</v>
      </c>
      <c r="Y39" s="603">
        <f t="shared" si="10"/>
        <v>-28.666851243983164</v>
      </c>
      <c r="Z39" s="184"/>
    </row>
    <row r="40" spans="1:26" ht="21.75">
      <c r="A40" s="186" t="s">
        <v>170</v>
      </c>
      <c r="B40" s="130" t="s">
        <v>135</v>
      </c>
      <c r="C40" s="311">
        <v>4377222.76</v>
      </c>
      <c r="D40" s="311">
        <v>326121.27</v>
      </c>
      <c r="E40" s="311">
        <v>95988.3</v>
      </c>
      <c r="F40" s="312">
        <v>0</v>
      </c>
      <c r="G40" s="309">
        <v>4799332.329999999</v>
      </c>
      <c r="H40" s="315">
        <v>3239032.0100000002</v>
      </c>
      <c r="I40" s="311">
        <v>161058.40000000002</v>
      </c>
      <c r="J40" s="311">
        <v>362411.89</v>
      </c>
      <c r="K40" s="307">
        <f t="shared" si="0"/>
        <v>3762502.3000000003</v>
      </c>
      <c r="L40" s="307">
        <f t="shared" si="1"/>
        <v>8561834.629999999</v>
      </c>
      <c r="M40" s="311">
        <v>4390613.379999999</v>
      </c>
      <c r="N40" s="311">
        <v>311951.77</v>
      </c>
      <c r="O40" s="311">
        <v>16240.7</v>
      </c>
      <c r="P40" s="312">
        <v>5585.4</v>
      </c>
      <c r="Q40" s="309">
        <f t="shared" si="3"/>
        <v>4724391.249999999</v>
      </c>
      <c r="R40" s="315">
        <v>3420033.3000000003</v>
      </c>
      <c r="S40" s="311">
        <v>74218.39</v>
      </c>
      <c r="T40" s="311">
        <v>1711998.48</v>
      </c>
      <c r="U40" s="308">
        <f t="shared" si="4"/>
        <v>5206250.17</v>
      </c>
      <c r="V40" s="307">
        <f t="shared" si="2"/>
        <v>9930641.419999998</v>
      </c>
      <c r="W40" s="603">
        <f t="shared" si="8"/>
        <v>-1.5614896999641632</v>
      </c>
      <c r="X40" s="603">
        <f t="shared" si="9"/>
        <v>38.37201295531433</v>
      </c>
      <c r="Y40" s="603">
        <f t="shared" si="10"/>
        <v>15.987307033516007</v>
      </c>
      <c r="Z40" s="184"/>
    </row>
    <row r="41" spans="1:25" ht="21.75">
      <c r="A41" s="92" t="s">
        <v>33</v>
      </c>
      <c r="B41" s="295"/>
      <c r="C41" s="312"/>
      <c r="D41" s="312"/>
      <c r="E41" s="312"/>
      <c r="F41" s="312"/>
      <c r="G41" s="309"/>
      <c r="H41" s="316"/>
      <c r="I41" s="312"/>
      <c r="J41" s="312"/>
      <c r="K41" s="307"/>
      <c r="L41" s="307"/>
      <c r="M41" s="312"/>
      <c r="N41" s="312"/>
      <c r="O41" s="312"/>
      <c r="P41" s="312"/>
      <c r="Q41" s="309"/>
      <c r="R41" s="316"/>
      <c r="S41" s="312"/>
      <c r="T41" s="312"/>
      <c r="U41" s="308"/>
      <c r="V41" s="307"/>
      <c r="W41" s="603"/>
      <c r="X41" s="603"/>
      <c r="Y41" s="603"/>
    </row>
    <row r="42" spans="1:25" ht="21.75">
      <c r="A42" s="186" t="s">
        <v>171</v>
      </c>
      <c r="B42" s="130" t="s">
        <v>115</v>
      </c>
      <c r="C42" s="312">
        <v>1899867.5</v>
      </c>
      <c r="D42" s="312">
        <v>0</v>
      </c>
      <c r="E42" s="312">
        <v>0</v>
      </c>
      <c r="F42" s="312">
        <v>0</v>
      </c>
      <c r="G42" s="309">
        <v>1899867.5</v>
      </c>
      <c r="H42" s="311">
        <v>850</v>
      </c>
      <c r="I42" s="312">
        <v>0</v>
      </c>
      <c r="J42" s="312">
        <v>24586.4</v>
      </c>
      <c r="K42" s="307">
        <f>SUM(H42:J42)</f>
        <v>25436.4</v>
      </c>
      <c r="L42" s="307">
        <f aca="true" t="shared" si="11" ref="L42:L52">SUM(G42+K42)</f>
        <v>1925303.9</v>
      </c>
      <c r="M42" s="312">
        <v>1999487</v>
      </c>
      <c r="N42" s="312">
        <v>0</v>
      </c>
      <c r="O42" s="312">
        <v>0</v>
      </c>
      <c r="P42" s="312">
        <v>1</v>
      </c>
      <c r="Q42" s="309">
        <f t="shared" si="3"/>
        <v>1999488</v>
      </c>
      <c r="R42" s="311">
        <v>0</v>
      </c>
      <c r="S42" s="312">
        <v>35000</v>
      </c>
      <c r="T42" s="312">
        <v>15347.4</v>
      </c>
      <c r="U42" s="308">
        <f t="shared" si="4"/>
        <v>50347.4</v>
      </c>
      <c r="V42" s="307">
        <f aca="true" t="shared" si="12" ref="V42:V51">SUM(Q42+U42)</f>
        <v>2049835.4</v>
      </c>
      <c r="W42" s="603">
        <f>(Q42-G42)*100/G42</f>
        <v>5.243549879136308</v>
      </c>
      <c r="X42" s="603">
        <f>(U42-K42)*100/K42</f>
        <v>97.93445613372961</v>
      </c>
      <c r="Y42" s="603">
        <f>(V42-L42)*100/L42</f>
        <v>6.468147703850805</v>
      </c>
    </row>
    <row r="43" spans="1:25" ht="21.75">
      <c r="A43" s="186" t="s">
        <v>172</v>
      </c>
      <c r="B43" s="130" t="s">
        <v>114</v>
      </c>
      <c r="C43" s="311">
        <v>2989597.24</v>
      </c>
      <c r="D43" s="311">
        <v>3430.3200000000006</v>
      </c>
      <c r="E43" s="311">
        <v>0</v>
      </c>
      <c r="F43" s="312">
        <v>1</v>
      </c>
      <c r="G43" s="309">
        <v>2993028.56</v>
      </c>
      <c r="H43" s="311">
        <v>98237.8</v>
      </c>
      <c r="I43" s="312">
        <v>0</v>
      </c>
      <c r="J43" s="311">
        <v>34695.020000000004</v>
      </c>
      <c r="K43" s="307">
        <f>SUM(H43:J43)</f>
        <v>132932.82</v>
      </c>
      <c r="L43" s="307">
        <f t="shared" si="11"/>
        <v>3125961.38</v>
      </c>
      <c r="M43" s="311">
        <v>3303728</v>
      </c>
      <c r="N43" s="311">
        <v>1188.02</v>
      </c>
      <c r="O43" s="311">
        <v>0</v>
      </c>
      <c r="P43" s="312">
        <v>1</v>
      </c>
      <c r="Q43" s="309">
        <f t="shared" si="3"/>
        <v>3304917.02</v>
      </c>
      <c r="R43" s="311">
        <v>126874.59999999999</v>
      </c>
      <c r="S43" s="312">
        <v>429386.54</v>
      </c>
      <c r="T43" s="311">
        <v>34946.03</v>
      </c>
      <c r="U43" s="308">
        <f t="shared" si="4"/>
        <v>591207.17</v>
      </c>
      <c r="V43" s="307">
        <f>SUM(Q43+U43)</f>
        <v>3896124.19</v>
      </c>
      <c r="W43" s="603">
        <f aca="true" t="shared" si="13" ref="W43:W53">(Q43-G43)*100/G43</f>
        <v>10.420497290543729</v>
      </c>
      <c r="X43" s="603">
        <v>100</v>
      </c>
      <c r="Y43" s="603">
        <f aca="true" t="shared" si="14" ref="Y43:Y53">(V43-L43)*100/L43</f>
        <v>24.637630359975848</v>
      </c>
    </row>
    <row r="44" spans="1:26" s="160" customFormat="1" ht="21.75">
      <c r="A44" s="186" t="s">
        <v>173</v>
      </c>
      <c r="B44" s="130" t="s">
        <v>450</v>
      </c>
      <c r="C44" s="311">
        <v>11040089.030000001</v>
      </c>
      <c r="D44" s="311">
        <v>1198621.9300000002</v>
      </c>
      <c r="E44" s="311">
        <v>0</v>
      </c>
      <c r="F44" s="312">
        <v>11</v>
      </c>
      <c r="G44" s="309">
        <v>12238721.96</v>
      </c>
      <c r="H44" s="311">
        <v>658380.94</v>
      </c>
      <c r="I44" s="311">
        <v>0</v>
      </c>
      <c r="J44" s="311">
        <v>1300</v>
      </c>
      <c r="K44" s="307">
        <f>SUM(H44:J44)</f>
        <v>659680.94</v>
      </c>
      <c r="L44" s="307">
        <f t="shared" si="11"/>
        <v>12898402.9</v>
      </c>
      <c r="M44" s="311">
        <v>9716131.96</v>
      </c>
      <c r="N44" s="311">
        <v>1212346.62</v>
      </c>
      <c r="O44" s="311">
        <v>0</v>
      </c>
      <c r="P44" s="312">
        <v>19</v>
      </c>
      <c r="Q44" s="309">
        <f t="shared" si="3"/>
        <v>10928497.580000002</v>
      </c>
      <c r="R44" s="311">
        <v>732518.9400000001</v>
      </c>
      <c r="S44" s="311">
        <v>0</v>
      </c>
      <c r="T44" s="311">
        <v>22450</v>
      </c>
      <c r="U44" s="308">
        <f t="shared" si="4"/>
        <v>754968.9400000001</v>
      </c>
      <c r="V44" s="307">
        <f>SUM(Q44+U44)</f>
        <v>11683466.520000001</v>
      </c>
      <c r="W44" s="603">
        <f t="shared" si="13"/>
        <v>-10.705565370977665</v>
      </c>
      <c r="X44" s="603">
        <f aca="true" t="shared" si="15" ref="X44:X53">(U44-K44)*100/K44</f>
        <v>14.444558607377699</v>
      </c>
      <c r="Y44" s="603">
        <f t="shared" si="14"/>
        <v>-9.4192776378539</v>
      </c>
      <c r="Z44" s="107"/>
    </row>
    <row r="45" spans="1:26" s="190" customFormat="1" ht="21.75">
      <c r="A45" s="189" t="s">
        <v>174</v>
      </c>
      <c r="B45" s="294" t="s">
        <v>109</v>
      </c>
      <c r="C45" s="311">
        <v>2970527.4699999997</v>
      </c>
      <c r="D45" s="311">
        <v>1189.9999999999998</v>
      </c>
      <c r="E45" s="311">
        <v>0</v>
      </c>
      <c r="F45" s="311">
        <v>3</v>
      </c>
      <c r="G45" s="309">
        <v>2971720.4699999997</v>
      </c>
      <c r="H45" s="311">
        <v>1454373.9</v>
      </c>
      <c r="I45" s="311">
        <v>3691452</v>
      </c>
      <c r="J45" s="311">
        <v>2400</v>
      </c>
      <c r="K45" s="307">
        <f>SUM(H45:J45)</f>
        <v>5148225.9</v>
      </c>
      <c r="L45" s="307">
        <f t="shared" si="11"/>
        <v>8119946.37</v>
      </c>
      <c r="M45" s="311">
        <v>2950917.37</v>
      </c>
      <c r="N45" s="311">
        <v>2221.8899999999994</v>
      </c>
      <c r="O45" s="311">
        <v>0</v>
      </c>
      <c r="P45" s="311">
        <v>0</v>
      </c>
      <c r="Q45" s="309">
        <f t="shared" si="3"/>
        <v>2953139.2600000002</v>
      </c>
      <c r="R45" s="311">
        <v>258385</v>
      </c>
      <c r="S45" s="311">
        <v>1850496</v>
      </c>
      <c r="T45" s="311">
        <v>2750</v>
      </c>
      <c r="U45" s="308">
        <f t="shared" si="4"/>
        <v>2111631</v>
      </c>
      <c r="V45" s="307">
        <f>SUM(Q45+U45)</f>
        <v>5064770.26</v>
      </c>
      <c r="W45" s="603">
        <f t="shared" si="13"/>
        <v>-0.625267759453819</v>
      </c>
      <c r="X45" s="603">
        <f t="shared" si="15"/>
        <v>-58.98332666404558</v>
      </c>
      <c r="Y45" s="603">
        <f t="shared" si="14"/>
        <v>-37.62557005656677</v>
      </c>
      <c r="Z45" s="107"/>
    </row>
    <row r="46" spans="1:25" ht="21.75">
      <c r="A46" s="186" t="s">
        <v>175</v>
      </c>
      <c r="B46" s="130" t="s">
        <v>108</v>
      </c>
      <c r="C46" s="317">
        <v>5986295.16</v>
      </c>
      <c r="D46" s="305">
        <v>0</v>
      </c>
      <c r="E46" s="305">
        <v>0</v>
      </c>
      <c r="F46" s="305">
        <v>2</v>
      </c>
      <c r="G46" s="306">
        <v>5986297.16</v>
      </c>
      <c r="H46" s="305">
        <v>55813.340000000004</v>
      </c>
      <c r="I46" s="305">
        <v>0</v>
      </c>
      <c r="J46" s="305">
        <v>0</v>
      </c>
      <c r="K46" s="307">
        <f>SUM(H46:J46)</f>
        <v>55813.340000000004</v>
      </c>
      <c r="L46" s="307">
        <f t="shared" si="11"/>
        <v>6042110.5</v>
      </c>
      <c r="M46" s="317">
        <v>6445176.37</v>
      </c>
      <c r="N46" s="305">
        <v>0</v>
      </c>
      <c r="O46" s="305">
        <v>0</v>
      </c>
      <c r="P46" s="305">
        <v>0</v>
      </c>
      <c r="Q46" s="309">
        <f t="shared" si="3"/>
        <v>6445176.37</v>
      </c>
      <c r="R46" s="305">
        <v>122878.50999999998</v>
      </c>
      <c r="S46" s="305">
        <v>0</v>
      </c>
      <c r="T46" s="305">
        <v>0</v>
      </c>
      <c r="U46" s="308">
        <f t="shared" si="4"/>
        <v>122878.50999999998</v>
      </c>
      <c r="V46" s="307">
        <f>SUM(Q46+U46)</f>
        <v>6568054.88</v>
      </c>
      <c r="W46" s="603">
        <f t="shared" si="13"/>
        <v>7.665493338122226</v>
      </c>
      <c r="X46" s="603">
        <v>100</v>
      </c>
      <c r="Y46" s="603">
        <f t="shared" si="14"/>
        <v>8.70464682828955</v>
      </c>
    </row>
    <row r="47" spans="1:25" ht="21.75">
      <c r="A47" s="186" t="s">
        <v>176</v>
      </c>
      <c r="B47" s="130" t="s">
        <v>113</v>
      </c>
      <c r="C47" s="311">
        <v>2940386</v>
      </c>
      <c r="D47" s="311">
        <v>63274.310000000005</v>
      </c>
      <c r="E47" s="311">
        <v>0</v>
      </c>
      <c r="F47" s="312">
        <v>5</v>
      </c>
      <c r="G47" s="309">
        <v>3003665.31</v>
      </c>
      <c r="H47" s="311">
        <v>1897436.88</v>
      </c>
      <c r="I47" s="312">
        <v>0</v>
      </c>
      <c r="J47" s="311">
        <v>0</v>
      </c>
      <c r="K47" s="307">
        <f aca="true" t="shared" si="16" ref="K47:K52">SUM(H47:J47)</f>
        <v>1897436.88</v>
      </c>
      <c r="L47" s="307">
        <f t="shared" si="11"/>
        <v>4901102.1899999995</v>
      </c>
      <c r="M47" s="311">
        <v>2901340.31</v>
      </c>
      <c r="N47" s="311">
        <v>61010.970000000016</v>
      </c>
      <c r="O47" s="311">
        <v>0</v>
      </c>
      <c r="P47" s="312">
        <v>1</v>
      </c>
      <c r="Q47" s="309">
        <f t="shared" si="3"/>
        <v>2962352.2800000003</v>
      </c>
      <c r="R47" s="311">
        <v>1568193.54</v>
      </c>
      <c r="S47" s="312">
        <v>0</v>
      </c>
      <c r="T47" s="311">
        <v>0</v>
      </c>
      <c r="U47" s="308">
        <f t="shared" si="4"/>
        <v>1568193.54</v>
      </c>
      <c r="V47" s="307">
        <f t="shared" si="12"/>
        <v>4530545.82</v>
      </c>
      <c r="W47" s="603">
        <f t="shared" si="13"/>
        <v>-1.3754205524316487</v>
      </c>
      <c r="X47" s="603">
        <f t="shared" si="15"/>
        <v>-17.352004879340168</v>
      </c>
      <c r="Y47" s="603">
        <f t="shared" si="14"/>
        <v>-7.560674224587005</v>
      </c>
    </row>
    <row r="48" spans="1:25" ht="21.75">
      <c r="A48" s="186" t="s">
        <v>177</v>
      </c>
      <c r="B48" s="130" t="s">
        <v>110</v>
      </c>
      <c r="C48" s="311">
        <v>5177722.850000001</v>
      </c>
      <c r="D48" s="311">
        <v>388</v>
      </c>
      <c r="E48" s="311">
        <v>0</v>
      </c>
      <c r="F48" s="312">
        <v>2</v>
      </c>
      <c r="G48" s="309">
        <v>5178112.850000001</v>
      </c>
      <c r="H48" s="311">
        <v>260049.19999999998</v>
      </c>
      <c r="I48" s="312">
        <v>0</v>
      </c>
      <c r="J48" s="311">
        <v>0</v>
      </c>
      <c r="K48" s="307">
        <f t="shared" si="16"/>
        <v>260049.19999999998</v>
      </c>
      <c r="L48" s="307">
        <f t="shared" si="11"/>
        <v>5438162.050000001</v>
      </c>
      <c r="M48" s="311">
        <v>5303620</v>
      </c>
      <c r="N48" s="311">
        <v>0</v>
      </c>
      <c r="O48" s="311">
        <v>0</v>
      </c>
      <c r="P48" s="312">
        <v>0</v>
      </c>
      <c r="Q48" s="309">
        <f t="shared" si="3"/>
        <v>5303620</v>
      </c>
      <c r="R48" s="311">
        <v>439055.24</v>
      </c>
      <c r="S48" s="312">
        <v>0</v>
      </c>
      <c r="T48" s="311">
        <v>0</v>
      </c>
      <c r="U48" s="308">
        <f t="shared" si="4"/>
        <v>439055.24</v>
      </c>
      <c r="V48" s="307">
        <f t="shared" si="12"/>
        <v>5742675.24</v>
      </c>
      <c r="W48" s="603">
        <f t="shared" si="13"/>
        <v>2.423800979926489</v>
      </c>
      <c r="X48" s="603">
        <f t="shared" si="15"/>
        <v>68.83545113770779</v>
      </c>
      <c r="Y48" s="603">
        <f t="shared" si="14"/>
        <v>5.59956079278659</v>
      </c>
    </row>
    <row r="49" spans="1:25" ht="21.75">
      <c r="A49" s="186" t="s">
        <v>178</v>
      </c>
      <c r="B49" s="130" t="s">
        <v>112</v>
      </c>
      <c r="C49" s="311">
        <v>2633596.25</v>
      </c>
      <c r="D49" s="311">
        <v>0</v>
      </c>
      <c r="E49" s="311">
        <v>0</v>
      </c>
      <c r="F49" s="312">
        <v>0</v>
      </c>
      <c r="G49" s="309">
        <v>2633596.25</v>
      </c>
      <c r="H49" s="311">
        <v>702696.5</v>
      </c>
      <c r="I49" s="312">
        <v>0</v>
      </c>
      <c r="J49" s="311">
        <v>0</v>
      </c>
      <c r="K49" s="307">
        <f t="shared" si="16"/>
        <v>702696.5</v>
      </c>
      <c r="L49" s="307">
        <f t="shared" si="11"/>
        <v>3336292.75</v>
      </c>
      <c r="M49" s="311">
        <v>2934296.3300000005</v>
      </c>
      <c r="N49" s="311">
        <v>0</v>
      </c>
      <c r="O49" s="311">
        <v>0</v>
      </c>
      <c r="P49" s="312">
        <v>1</v>
      </c>
      <c r="Q49" s="309">
        <f t="shared" si="3"/>
        <v>2934297.3300000005</v>
      </c>
      <c r="R49" s="311">
        <v>35767</v>
      </c>
      <c r="S49" s="312">
        <v>0</v>
      </c>
      <c r="T49" s="311">
        <v>240</v>
      </c>
      <c r="U49" s="308">
        <f t="shared" si="4"/>
        <v>36007</v>
      </c>
      <c r="V49" s="307">
        <f t="shared" si="12"/>
        <v>2970304.3300000005</v>
      </c>
      <c r="W49" s="603">
        <f t="shared" si="13"/>
        <v>11.417888372221084</v>
      </c>
      <c r="X49" s="603">
        <f t="shared" si="15"/>
        <v>-94.87588169287879</v>
      </c>
      <c r="Y49" s="603">
        <f t="shared" si="14"/>
        <v>-10.96991323678054</v>
      </c>
    </row>
    <row r="50" spans="1:25" ht="21.75">
      <c r="A50" s="186" t="s">
        <v>179</v>
      </c>
      <c r="B50" s="130" t="s">
        <v>111</v>
      </c>
      <c r="C50" s="311">
        <v>6532523.58</v>
      </c>
      <c r="D50" s="311" t="s">
        <v>452</v>
      </c>
      <c r="E50" s="311">
        <v>0</v>
      </c>
      <c r="F50" s="312">
        <v>3062.98</v>
      </c>
      <c r="G50" s="309">
        <v>6709057.540000001</v>
      </c>
      <c r="H50" s="311">
        <v>1997848.33</v>
      </c>
      <c r="I50" s="312">
        <v>0</v>
      </c>
      <c r="J50" s="311">
        <v>3030</v>
      </c>
      <c r="K50" s="307">
        <f t="shared" si="16"/>
        <v>2000878.33</v>
      </c>
      <c r="L50" s="307">
        <f t="shared" si="11"/>
        <v>8709935.870000001</v>
      </c>
      <c r="M50" s="311">
        <v>6882603.37</v>
      </c>
      <c r="N50" s="311">
        <v>374634.45000000007</v>
      </c>
      <c r="O50" s="311">
        <v>0</v>
      </c>
      <c r="P50" s="312">
        <v>0</v>
      </c>
      <c r="Q50" s="309">
        <f t="shared" si="3"/>
        <v>7257237.82</v>
      </c>
      <c r="R50" s="311">
        <v>2575651.6399999997</v>
      </c>
      <c r="S50" s="312">
        <v>8000</v>
      </c>
      <c r="T50" s="311">
        <v>0</v>
      </c>
      <c r="U50" s="308">
        <f t="shared" si="4"/>
        <v>2583651.6399999997</v>
      </c>
      <c r="V50" s="307">
        <f t="shared" si="12"/>
        <v>9840889.46</v>
      </c>
      <c r="W50" s="603">
        <f t="shared" si="13"/>
        <v>8.170749419448253</v>
      </c>
      <c r="X50" s="603">
        <f>(U50-K50)*100/K50</f>
        <v>29.125874435353573</v>
      </c>
      <c r="Y50" s="603">
        <f t="shared" si="14"/>
        <v>12.98463739435087</v>
      </c>
    </row>
    <row r="51" spans="1:25" ht="21.75">
      <c r="A51" s="186" t="s">
        <v>180</v>
      </c>
      <c r="B51" s="130" t="s">
        <v>449</v>
      </c>
      <c r="C51" s="311">
        <v>8382893.3100000005</v>
      </c>
      <c r="D51" s="311">
        <v>14817261.750000002</v>
      </c>
      <c r="E51" s="311">
        <v>0</v>
      </c>
      <c r="F51" s="312">
        <v>2179.28</v>
      </c>
      <c r="G51" s="309">
        <v>23202334.340000004</v>
      </c>
      <c r="H51" s="311">
        <v>21481350.360000003</v>
      </c>
      <c r="I51" s="311">
        <v>1099747.65</v>
      </c>
      <c r="J51" s="311">
        <v>50801</v>
      </c>
      <c r="K51" s="307">
        <f t="shared" si="16"/>
        <v>22631899.01</v>
      </c>
      <c r="L51" s="307">
        <f t="shared" si="11"/>
        <v>45834233.35000001</v>
      </c>
      <c r="M51" s="311">
        <v>8304470.37</v>
      </c>
      <c r="N51" s="311">
        <v>12966179.450000001</v>
      </c>
      <c r="O51" s="311">
        <v>0</v>
      </c>
      <c r="P51" s="312">
        <v>8</v>
      </c>
      <c r="Q51" s="309">
        <f t="shared" si="3"/>
        <v>21270657.82</v>
      </c>
      <c r="R51" s="311">
        <v>18482940.509999998</v>
      </c>
      <c r="S51" s="311">
        <v>1016165.4</v>
      </c>
      <c r="T51" s="311">
        <v>52002</v>
      </c>
      <c r="U51" s="308">
        <f t="shared" si="4"/>
        <v>19551107.909999996</v>
      </c>
      <c r="V51" s="307">
        <f t="shared" si="12"/>
        <v>40821765.73</v>
      </c>
      <c r="W51" s="603">
        <f t="shared" si="13"/>
        <v>-8.325354215200068</v>
      </c>
      <c r="X51" s="603">
        <f t="shared" si="15"/>
        <v>-13.61260537014037</v>
      </c>
      <c r="Y51" s="603">
        <f t="shared" si="14"/>
        <v>-10.936078240305095</v>
      </c>
    </row>
    <row r="52" spans="1:25" ht="21.75">
      <c r="A52" s="186" t="s">
        <v>181</v>
      </c>
      <c r="B52" s="130" t="s">
        <v>408</v>
      </c>
      <c r="C52" s="311">
        <v>9503130.09</v>
      </c>
      <c r="D52" s="311">
        <v>19334.91</v>
      </c>
      <c r="E52" s="311">
        <v>0</v>
      </c>
      <c r="F52" s="311">
        <v>4</v>
      </c>
      <c r="G52" s="309">
        <v>9522469</v>
      </c>
      <c r="H52" s="311">
        <v>44185804.03</v>
      </c>
      <c r="I52" s="311">
        <v>4368450</v>
      </c>
      <c r="J52" s="311">
        <v>17747.8</v>
      </c>
      <c r="K52" s="307">
        <f t="shared" si="16"/>
        <v>48572001.83</v>
      </c>
      <c r="L52" s="307">
        <f t="shared" si="11"/>
        <v>58094470.83</v>
      </c>
      <c r="M52" s="311">
        <v>9641445.82</v>
      </c>
      <c r="N52" s="311">
        <v>17665.7</v>
      </c>
      <c r="O52" s="311">
        <v>0</v>
      </c>
      <c r="P52" s="311">
        <v>1</v>
      </c>
      <c r="Q52" s="309">
        <f t="shared" si="3"/>
        <v>9659112.52</v>
      </c>
      <c r="R52" s="311">
        <v>6194363.01</v>
      </c>
      <c r="S52" s="311">
        <v>7708741.86</v>
      </c>
      <c r="T52" s="311">
        <v>40585.04</v>
      </c>
      <c r="U52" s="308">
        <f t="shared" si="4"/>
        <v>13943689.91</v>
      </c>
      <c r="V52" s="307">
        <f>SUM(Q52+U52)</f>
        <v>23602802.43</v>
      </c>
      <c r="W52" s="603">
        <f t="shared" si="13"/>
        <v>1.4349589376452636</v>
      </c>
      <c r="X52" s="603">
        <f t="shared" si="15"/>
        <v>-71.29274194050652</v>
      </c>
      <c r="Y52" s="603">
        <f t="shared" si="14"/>
        <v>-59.37168874630405</v>
      </c>
    </row>
    <row r="53" spans="1:25" ht="19.5" thickBot="1">
      <c r="A53" s="94" t="s">
        <v>27</v>
      </c>
      <c r="B53" s="94"/>
      <c r="C53" s="318">
        <f aca="true" t="shared" si="17" ref="C53:U53">SUM(C7:C52)</f>
        <v>284347205.14000005</v>
      </c>
      <c r="D53" s="318">
        <f t="shared" si="17"/>
        <v>26677349.740000002</v>
      </c>
      <c r="E53" s="318">
        <f t="shared" si="17"/>
        <v>4139583.849999999</v>
      </c>
      <c r="F53" s="318">
        <f t="shared" si="17"/>
        <v>12047.15</v>
      </c>
      <c r="G53" s="318">
        <f t="shared" si="17"/>
        <v>315349656.86</v>
      </c>
      <c r="H53" s="318">
        <f t="shared" si="17"/>
        <v>387031753.92999995</v>
      </c>
      <c r="I53" s="318">
        <f t="shared" si="17"/>
        <v>25456264.699999996</v>
      </c>
      <c r="J53" s="318">
        <f t="shared" si="17"/>
        <v>69847257.44000001</v>
      </c>
      <c r="K53" s="318">
        <f t="shared" si="17"/>
        <v>482335276.06999993</v>
      </c>
      <c r="L53" s="318">
        <f t="shared" si="17"/>
        <v>797684932.93</v>
      </c>
      <c r="M53" s="318">
        <f t="shared" si="17"/>
        <v>278308947.81</v>
      </c>
      <c r="N53" s="318">
        <f t="shared" si="17"/>
        <v>26522802.619999997</v>
      </c>
      <c r="O53" s="318">
        <f t="shared" si="17"/>
        <v>3202471.7900000005</v>
      </c>
      <c r="P53" s="318">
        <f t="shared" si="17"/>
        <v>5633.4</v>
      </c>
      <c r="Q53" s="318">
        <f t="shared" si="17"/>
        <v>308039855.62</v>
      </c>
      <c r="R53" s="318">
        <f t="shared" si="17"/>
        <v>353228994.30999994</v>
      </c>
      <c r="S53" s="318">
        <f t="shared" si="17"/>
        <v>28394592.41</v>
      </c>
      <c r="T53" s="318">
        <f t="shared" si="17"/>
        <v>67581281.53000002</v>
      </c>
      <c r="U53" s="318">
        <f t="shared" si="17"/>
        <v>449204868.24999994</v>
      </c>
      <c r="V53" s="318">
        <f>SUM(V7:V52)</f>
        <v>757244723.8700001</v>
      </c>
      <c r="W53" s="603">
        <f t="shared" si="13"/>
        <v>-2.3179987930810424</v>
      </c>
      <c r="X53" s="603">
        <f t="shared" si="15"/>
        <v>-6.868750734953889</v>
      </c>
      <c r="Y53" s="603">
        <f t="shared" si="14"/>
        <v>-5.069696993204786</v>
      </c>
    </row>
    <row r="54" spans="3:12" ht="19.5" thickTop="1"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25" s="54" customFormat="1" ht="24">
      <c r="A55" s="54" t="s">
        <v>62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84"/>
      <c r="O55" s="184"/>
      <c r="P55" s="184"/>
      <c r="R55" s="184"/>
      <c r="S55" s="184"/>
      <c r="T55" s="184"/>
      <c r="V55" s="184"/>
      <c r="W55" s="604"/>
      <c r="X55" s="604"/>
      <c r="Y55" s="604"/>
    </row>
    <row r="56" spans="1:25" s="54" customFormat="1" ht="24">
      <c r="A56" s="54" t="s">
        <v>78</v>
      </c>
      <c r="C56" s="55"/>
      <c r="D56" s="55"/>
      <c r="E56" s="55"/>
      <c r="F56" s="55"/>
      <c r="G56" s="55"/>
      <c r="H56" s="55"/>
      <c r="I56" s="55"/>
      <c r="J56" s="55"/>
      <c r="K56" s="5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604"/>
      <c r="X56" s="604"/>
      <c r="Y56" s="604"/>
    </row>
    <row r="57" ht="18.75">
      <c r="V57" s="140"/>
    </row>
  </sheetData>
  <sheetProtection/>
  <mergeCells count="13">
    <mergeCell ref="R5:U5"/>
    <mergeCell ref="V5:V6"/>
    <mergeCell ref="M4:V4"/>
    <mergeCell ref="A1:Y1"/>
    <mergeCell ref="W4:W6"/>
    <mergeCell ref="X4:X6"/>
    <mergeCell ref="Y4:Y6"/>
    <mergeCell ref="C4:L4"/>
    <mergeCell ref="C5:G5"/>
    <mergeCell ref="H5:K5"/>
    <mergeCell ref="L5:L6"/>
    <mergeCell ref="M5:Q5"/>
    <mergeCell ref="A4:B6"/>
  </mergeCells>
  <printOptions horizontalCentered="1"/>
  <pageMargins left="0" right="0" top="0.12" bottom="1" header="0.35" footer="0.511811023622047"/>
  <pageSetup orientation="landscape" paperSize="5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5" sqref="A15:O15"/>
    </sheetView>
  </sheetViews>
  <sheetFormatPr defaultColWidth="9.140625" defaultRowHeight="12.75"/>
  <cols>
    <col min="1" max="1" width="13.00390625" style="28" customWidth="1"/>
    <col min="2" max="2" width="8.28125" style="28" customWidth="1"/>
    <col min="3" max="14" width="9.140625" style="28" customWidth="1"/>
    <col min="15" max="15" width="11.140625" style="28" customWidth="1"/>
    <col min="16" max="16" width="10.421875" style="28" customWidth="1"/>
    <col min="17" max="17" width="33.57421875" style="28" customWidth="1"/>
    <col min="18" max="18" width="11.140625" style="28" customWidth="1"/>
    <col min="19" max="16384" width="9.140625" style="28" customWidth="1"/>
  </cols>
  <sheetData>
    <row r="1" spans="1:2" ht="24">
      <c r="A1" s="84" t="s">
        <v>65</v>
      </c>
      <c r="B1" s="28" t="s">
        <v>66</v>
      </c>
    </row>
    <row r="2" ht="24">
      <c r="A2" s="28" t="s">
        <v>67</v>
      </c>
    </row>
    <row r="3" ht="24">
      <c r="A3" s="28" t="s">
        <v>68</v>
      </c>
    </row>
    <row r="4" ht="12.75" customHeight="1"/>
    <row r="5" spans="1:17" s="198" customFormat="1" ht="69.75" customHeight="1">
      <c r="A5" s="667" t="s">
        <v>438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Q5" s="580"/>
    </row>
    <row r="6" spans="1:15" s="198" customFormat="1" ht="114.75" customHeight="1">
      <c r="A6" s="667" t="s">
        <v>401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</row>
    <row r="7" spans="1:15" s="198" customFormat="1" ht="68.25" customHeight="1">
      <c r="A7" s="667" t="s">
        <v>402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</row>
    <row r="8" spans="1:15" s="198" customFormat="1" ht="46.5" customHeight="1">
      <c r="A8" s="667" t="s">
        <v>406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</row>
    <row r="9" spans="1:15" s="198" customFormat="1" ht="45.75" customHeight="1">
      <c r="A9" s="667" t="s">
        <v>403</v>
      </c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</row>
    <row r="10" spans="1:15" s="198" customFormat="1" ht="49.5" customHeight="1">
      <c r="A10" s="667" t="s">
        <v>404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</row>
    <row r="11" spans="1:15" s="198" customFormat="1" ht="48.75" customHeight="1">
      <c r="A11" s="667" t="s">
        <v>405</v>
      </c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</row>
    <row r="12" spans="1:15" s="198" customFormat="1" ht="94.5" customHeight="1">
      <c r="A12" s="667" t="s">
        <v>439</v>
      </c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</row>
    <row r="13" spans="1:15" s="198" customFormat="1" ht="72.75" customHeight="1">
      <c r="A13" s="667" t="s">
        <v>412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</row>
    <row r="14" spans="1:15" s="198" customFormat="1" ht="48" customHeight="1">
      <c r="A14" s="667" t="s">
        <v>417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</row>
    <row r="15" spans="1:15" s="198" customFormat="1" ht="47.25" customHeight="1">
      <c r="A15" s="667" t="s">
        <v>415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</row>
    <row r="16" spans="1:15" s="198" customFormat="1" ht="47.25" customHeight="1">
      <c r="A16" s="667" t="s">
        <v>414</v>
      </c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</row>
    <row r="17" spans="1:15" s="198" customFormat="1" ht="69" customHeight="1">
      <c r="A17" s="667" t="s">
        <v>413</v>
      </c>
      <c r="B17" s="667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</row>
    <row r="18" spans="1:15" s="198" customFormat="1" ht="46.5" customHeight="1">
      <c r="A18" s="667" t="s">
        <v>407</v>
      </c>
      <c r="B18" s="667"/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7"/>
    </row>
    <row r="19" spans="1:15" s="198" customFormat="1" ht="48.75" customHeight="1">
      <c r="A19" s="667" t="s">
        <v>440</v>
      </c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</row>
    <row r="20" spans="1:15" s="198" customFormat="1" ht="46.5" customHeight="1">
      <c r="A20" s="667" t="s">
        <v>416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</row>
    <row r="21" spans="1:15" s="198" customFormat="1" ht="90" customHeight="1">
      <c r="A21" s="667" t="s">
        <v>423</v>
      </c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</row>
    <row r="31" spans="1:3" ht="24" hidden="1">
      <c r="A31" s="28" t="s">
        <v>32</v>
      </c>
      <c r="C31" s="28" t="s">
        <v>191</v>
      </c>
    </row>
    <row r="32" ht="24" hidden="1">
      <c r="A32" s="28" t="s">
        <v>230</v>
      </c>
    </row>
    <row r="33" ht="24" hidden="1">
      <c r="A33" s="28" t="s">
        <v>192</v>
      </c>
    </row>
    <row r="34" ht="24" hidden="1"/>
    <row r="35" ht="24" hidden="1"/>
    <row r="36" spans="1:3" ht="24" hidden="1">
      <c r="A36" s="142" t="s">
        <v>32</v>
      </c>
      <c r="C36" s="28" t="s">
        <v>193</v>
      </c>
    </row>
    <row r="37" ht="24" hidden="1">
      <c r="A37" s="54" t="s">
        <v>194</v>
      </c>
    </row>
    <row r="38" ht="24" hidden="1">
      <c r="A38" s="54" t="s">
        <v>195</v>
      </c>
    </row>
    <row r="39" ht="24" hidden="1">
      <c r="A39" s="54"/>
    </row>
    <row r="40" spans="1:3" ht="24" hidden="1">
      <c r="A40" s="142" t="s">
        <v>32</v>
      </c>
      <c r="C40" s="28" t="s">
        <v>226</v>
      </c>
    </row>
    <row r="41" ht="24" hidden="1">
      <c r="A41" s="28" t="s">
        <v>227</v>
      </c>
    </row>
    <row r="42" spans="1:16" ht="24" hidden="1">
      <c r="A42" s="28" t="s">
        <v>225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4" hidden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24" hidden="1">
      <c r="A44" s="142" t="s">
        <v>32</v>
      </c>
      <c r="B44" s="54"/>
      <c r="C44" s="54" t="s">
        <v>228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hidden="1">
      <c r="A45" s="54" t="s">
        <v>229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24" hidden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ht="24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24">
      <c r="A48" s="14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ht="24">
      <c r="A49" s="142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4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24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ht="24">
      <c r="A52" s="142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15" ht="24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ht="24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ht="2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2:15" ht="24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2:15" ht="24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 ht="24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62" ht="24">
      <c r="A62" s="142"/>
    </row>
  </sheetData>
  <sheetProtection/>
  <mergeCells count="17">
    <mergeCell ref="A11:O11"/>
    <mergeCell ref="A12:O12"/>
    <mergeCell ref="A13:O13"/>
    <mergeCell ref="A5:O5"/>
    <mergeCell ref="A6:O6"/>
    <mergeCell ref="A7:O7"/>
    <mergeCell ref="A8:O8"/>
    <mergeCell ref="A9:O9"/>
    <mergeCell ref="A10:O10"/>
    <mergeCell ref="A20:O20"/>
    <mergeCell ref="A21:O21"/>
    <mergeCell ref="A14:O14"/>
    <mergeCell ref="A15:O15"/>
    <mergeCell ref="A16:O16"/>
    <mergeCell ref="A17:O17"/>
    <mergeCell ref="A18:O18"/>
    <mergeCell ref="A19:O19"/>
  </mergeCells>
  <printOptions horizontalCentered="1"/>
  <pageMargins left="0.68" right="0.16" top="0.69" bottom="0.16" header="0.511811023622047" footer="0.511811023622047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37.140625" style="28" bestFit="1" customWidth="1"/>
    <col min="2" max="2" width="16.140625" style="28" customWidth="1"/>
    <col min="3" max="3" width="15.8515625" style="28" customWidth="1"/>
    <col min="4" max="4" width="15.421875" style="28" customWidth="1"/>
    <col min="5" max="5" width="15.28125" style="54" customWidth="1"/>
    <col min="6" max="6" width="17.8515625" style="28" customWidth="1"/>
    <col min="7" max="7" width="15.57421875" style="28" customWidth="1"/>
    <col min="8" max="9" width="12.421875" style="575" customWidth="1"/>
    <col min="10" max="10" width="12.421875" style="575" bestFit="1" customWidth="1"/>
    <col min="11" max="16384" width="9.140625" style="28" customWidth="1"/>
  </cols>
  <sheetData>
    <row r="1" spans="1:10" s="95" customFormat="1" ht="24">
      <c r="A1" s="669" t="s">
        <v>395</v>
      </c>
      <c r="B1" s="669"/>
      <c r="C1" s="669"/>
      <c r="D1" s="669"/>
      <c r="E1" s="669"/>
      <c r="F1" s="669"/>
      <c r="G1" s="669"/>
      <c r="H1" s="669"/>
      <c r="I1" s="669"/>
      <c r="J1" s="669"/>
    </row>
    <row r="2" spans="1:10" s="95" customFormat="1" ht="24">
      <c r="A2" s="668" t="s">
        <v>59</v>
      </c>
      <c r="B2" s="668"/>
      <c r="C2" s="668"/>
      <c r="D2" s="668"/>
      <c r="E2" s="123"/>
      <c r="H2" s="574"/>
      <c r="I2" s="574"/>
      <c r="J2" s="574"/>
    </row>
    <row r="3" ht="24">
      <c r="J3" s="575" t="s">
        <v>17</v>
      </c>
    </row>
    <row r="4" spans="1:10" s="3" customFormat="1" ht="24">
      <c r="A4" s="670" t="s">
        <v>60</v>
      </c>
      <c r="B4" s="670" t="s">
        <v>366</v>
      </c>
      <c r="C4" s="670"/>
      <c r="D4" s="670"/>
      <c r="E4" s="670" t="s">
        <v>409</v>
      </c>
      <c r="F4" s="670"/>
      <c r="G4" s="670"/>
      <c r="H4" s="671" t="s">
        <v>46</v>
      </c>
      <c r="I4" s="671"/>
      <c r="J4" s="671"/>
    </row>
    <row r="5" spans="1:10" s="45" customFormat="1" ht="72">
      <c r="A5" s="672"/>
      <c r="B5" s="44" t="s">
        <v>55</v>
      </c>
      <c r="C5" s="44" t="s">
        <v>56</v>
      </c>
      <c r="D5" s="44" t="s">
        <v>18</v>
      </c>
      <c r="E5" s="15" t="s">
        <v>55</v>
      </c>
      <c r="F5" s="44" t="s">
        <v>56</v>
      </c>
      <c r="G5" s="44" t="s">
        <v>18</v>
      </c>
      <c r="H5" s="576" t="s">
        <v>57</v>
      </c>
      <c r="I5" s="576" t="s">
        <v>61</v>
      </c>
      <c r="J5" s="576" t="s">
        <v>43</v>
      </c>
    </row>
    <row r="6" spans="1:10" ht="24">
      <c r="A6" s="196" t="s">
        <v>36</v>
      </c>
      <c r="B6" s="199">
        <v>0</v>
      </c>
      <c r="C6" s="197">
        <v>71400</v>
      </c>
      <c r="D6" s="101">
        <f>SUM(B6:C6)</f>
        <v>71400</v>
      </c>
      <c r="E6" s="199">
        <v>0</v>
      </c>
      <c r="F6" s="197">
        <v>0</v>
      </c>
      <c r="G6" s="101">
        <f>SUM(E6:F6)</f>
        <v>0</v>
      </c>
      <c r="H6" s="577">
        <v>0</v>
      </c>
      <c r="I6" s="577">
        <f>(F6-C6)*100/C6</f>
        <v>-100</v>
      </c>
      <c r="J6" s="577">
        <f>(G6-D6)*100/D6</f>
        <v>-100</v>
      </c>
    </row>
    <row r="7" spans="1:10" ht="24">
      <c r="A7" s="96" t="s">
        <v>35</v>
      </c>
      <c r="B7" s="111">
        <v>0</v>
      </c>
      <c r="C7" s="101">
        <v>23796661.820000004</v>
      </c>
      <c r="D7" s="101">
        <f>SUM(B7:C7)</f>
        <v>23796661.820000004</v>
      </c>
      <c r="E7" s="111">
        <v>0</v>
      </c>
      <c r="F7" s="101">
        <v>19278473.240000002</v>
      </c>
      <c r="G7" s="101">
        <f>SUM(E7:F7)</f>
        <v>19278473.240000002</v>
      </c>
      <c r="H7" s="577">
        <v>0</v>
      </c>
      <c r="I7" s="577">
        <f>(F7-C7)*100/C7</f>
        <v>-18.986648691215468</v>
      </c>
      <c r="J7" s="577">
        <f>(G7-D7)*100/D7</f>
        <v>-18.986648691215468</v>
      </c>
    </row>
    <row r="8" spans="1:10" ht="24">
      <c r="A8" s="196" t="s">
        <v>39</v>
      </c>
      <c r="B8" s="199">
        <v>0</v>
      </c>
      <c r="C8" s="197">
        <v>0</v>
      </c>
      <c r="D8" s="101">
        <f>SUM(B8:C8)</f>
        <v>0</v>
      </c>
      <c r="E8" s="199">
        <v>0</v>
      </c>
      <c r="F8" s="197">
        <v>19529.769999999993</v>
      </c>
      <c r="G8" s="101">
        <f>SUM(E8:F8)</f>
        <v>19529.769999999993</v>
      </c>
      <c r="H8" s="577">
        <v>0</v>
      </c>
      <c r="I8" s="577">
        <v>100</v>
      </c>
      <c r="J8" s="577">
        <v>100</v>
      </c>
    </row>
    <row r="9" spans="1:10" ht="24">
      <c r="A9" s="96" t="s">
        <v>34</v>
      </c>
      <c r="B9" s="111">
        <v>12808196.760000002</v>
      </c>
      <c r="C9" s="101">
        <v>0</v>
      </c>
      <c r="D9" s="101">
        <f>SUM(B9:C9)</f>
        <v>12808196.760000002</v>
      </c>
      <c r="E9" s="111">
        <v>12505191.189999998</v>
      </c>
      <c r="F9" s="101">
        <v>0</v>
      </c>
      <c r="G9" s="101">
        <f>SUM(E9:F9)</f>
        <v>12505191.189999998</v>
      </c>
      <c r="H9" s="577">
        <f>(E9-B9)*100/B9</f>
        <v>-2.3657160775847106</v>
      </c>
      <c r="I9" s="577">
        <v>0</v>
      </c>
      <c r="J9" s="577">
        <f>(G9-D9)*100/D9</f>
        <v>-2.3657160775847106</v>
      </c>
    </row>
    <row r="10" spans="1:10" ht="24">
      <c r="A10" s="96" t="s">
        <v>37</v>
      </c>
      <c r="B10" s="111">
        <v>2719563.449999999</v>
      </c>
      <c r="C10" s="101">
        <v>0</v>
      </c>
      <c r="D10" s="101">
        <f>SUM(B10:C10)</f>
        <v>2719563.449999999</v>
      </c>
      <c r="E10" s="111">
        <v>2663319.63</v>
      </c>
      <c r="F10" s="101">
        <v>0</v>
      </c>
      <c r="G10" s="101">
        <f>SUM(E10:F10)</f>
        <v>2663319.63</v>
      </c>
      <c r="H10" s="577">
        <f>(E10-B10)*100/B10</f>
        <v>-2.0681194255643836</v>
      </c>
      <c r="I10" s="577">
        <v>0</v>
      </c>
      <c r="J10" s="577">
        <f>(G10-D10)*100/D10</f>
        <v>-2.0681194255643836</v>
      </c>
    </row>
    <row r="11" spans="1:10" s="95" customFormat="1" ht="24.75" thickBot="1">
      <c r="A11" s="97" t="s">
        <v>18</v>
      </c>
      <c r="B11" s="124">
        <f aca="true" t="shared" si="0" ref="B11:G11">SUM(B6:B10)</f>
        <v>15527760.21</v>
      </c>
      <c r="C11" s="124">
        <f t="shared" si="0"/>
        <v>23868061.820000004</v>
      </c>
      <c r="D11" s="124">
        <f t="shared" si="0"/>
        <v>39395822.03</v>
      </c>
      <c r="E11" s="124">
        <f t="shared" si="0"/>
        <v>15168510.819999997</v>
      </c>
      <c r="F11" s="124">
        <f t="shared" si="0"/>
        <v>19298003.01</v>
      </c>
      <c r="G11" s="124">
        <f t="shared" si="0"/>
        <v>34466513.83</v>
      </c>
      <c r="H11" s="578">
        <f>(E11-B11)*100/B11</f>
        <v>-2.313594395723891</v>
      </c>
      <c r="I11" s="578">
        <f>(F11-C11)*100/C11</f>
        <v>-19.14717183349411</v>
      </c>
      <c r="J11" s="578">
        <f>(G11-D11)*100/D11</f>
        <v>-12.512261316051038</v>
      </c>
    </row>
    <row r="12" spans="2:7" ht="24.75" thickTop="1">
      <c r="B12" s="30"/>
      <c r="C12" s="30"/>
      <c r="D12" s="30"/>
      <c r="E12" s="55"/>
      <c r="F12" s="30"/>
      <c r="G12" s="30"/>
    </row>
    <row r="13" spans="1:7" ht="24">
      <c r="A13" s="28" t="s">
        <v>62</v>
      </c>
      <c r="B13" s="30"/>
      <c r="C13" s="30"/>
      <c r="D13" s="30"/>
      <c r="E13" s="55"/>
      <c r="F13" s="30"/>
      <c r="G13" s="30"/>
    </row>
    <row r="14" spans="1:7" ht="24">
      <c r="A14" s="28" t="s">
        <v>78</v>
      </c>
      <c r="B14" s="30"/>
      <c r="C14" s="30"/>
      <c r="D14" s="30"/>
      <c r="E14" s="55"/>
      <c r="F14" s="30"/>
      <c r="G14" s="30"/>
    </row>
    <row r="15" spans="2:7" ht="24">
      <c r="B15" s="30"/>
      <c r="C15" s="30"/>
      <c r="D15" s="30"/>
      <c r="E15" s="55"/>
      <c r="F15" s="30"/>
      <c r="G15" s="30"/>
    </row>
    <row r="16" spans="2:7" ht="24">
      <c r="B16" s="30"/>
      <c r="C16" s="30"/>
      <c r="D16" s="30"/>
      <c r="E16" s="55"/>
      <c r="F16" s="30"/>
      <c r="G16" s="30"/>
    </row>
    <row r="17" spans="1:7" ht="24">
      <c r="A17" s="198"/>
      <c r="B17" s="30"/>
      <c r="C17" s="30"/>
      <c r="D17" s="138"/>
      <c r="E17" s="136"/>
      <c r="F17" s="138"/>
      <c r="G17" s="138"/>
    </row>
    <row r="18" spans="1:7" ht="24">
      <c r="A18" s="198"/>
      <c r="B18" s="30"/>
      <c r="C18" s="30"/>
      <c r="D18" s="30"/>
      <c r="E18" s="55"/>
      <c r="F18" s="30"/>
      <c r="G18" s="30"/>
    </row>
    <row r="19" spans="1:7" ht="24">
      <c r="A19" s="198"/>
      <c r="B19" s="30"/>
      <c r="C19" s="30"/>
      <c r="D19" s="30"/>
      <c r="E19" s="55"/>
      <c r="F19" s="138"/>
      <c r="G19" s="30"/>
    </row>
    <row r="20" spans="2:7" ht="24">
      <c r="B20" s="30"/>
      <c r="C20" s="30"/>
      <c r="D20" s="30"/>
      <c r="E20" s="55"/>
      <c r="F20" s="30"/>
      <c r="G20" s="30"/>
    </row>
  </sheetData>
  <sheetProtection/>
  <mergeCells count="6">
    <mergeCell ref="A2:D2"/>
    <mergeCell ref="A1:J1"/>
    <mergeCell ref="B4:D4"/>
    <mergeCell ref="E4:G4"/>
    <mergeCell ref="H4:J4"/>
    <mergeCell ref="A4:A5"/>
  </mergeCells>
  <printOptions horizontalCentered="1"/>
  <pageMargins left="0" right="0" top="0.984251968503937" bottom="0.984251968503937" header="0.5118110236220472" footer="0.5118110236220472"/>
  <pageSetup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B15" sqref="B15"/>
    </sheetView>
  </sheetViews>
  <sheetFormatPr defaultColWidth="9.140625" defaultRowHeight="12.75"/>
  <cols>
    <col min="1" max="1" width="13.00390625" style="28" customWidth="1"/>
    <col min="2" max="16384" width="9.140625" style="28" customWidth="1"/>
  </cols>
  <sheetData>
    <row r="1" spans="1:2" ht="24">
      <c r="A1" s="84" t="s">
        <v>69</v>
      </c>
      <c r="B1" s="28" t="s">
        <v>70</v>
      </c>
    </row>
    <row r="2" ht="24">
      <c r="A2" s="28" t="s">
        <v>71</v>
      </c>
    </row>
    <row r="3" ht="24">
      <c r="A3" s="28" t="s">
        <v>72</v>
      </c>
    </row>
    <row r="4" ht="13.5" customHeight="1"/>
    <row r="5" spans="1:15" s="198" customFormat="1" ht="95.25" customHeight="1">
      <c r="A5" s="646" t="s">
        <v>445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</row>
    <row r="6" spans="1:15" s="198" customFormat="1" ht="81.75" customHeight="1">
      <c r="A6" s="646" t="s">
        <v>441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</row>
  </sheetData>
  <sheetProtection/>
  <mergeCells count="2">
    <mergeCell ref="A5:O5"/>
    <mergeCell ref="A6:O6"/>
  </mergeCells>
  <printOptions horizontalCentered="1"/>
  <pageMargins left="0.69" right="0.16" top="0.69" bottom="0.16" header="0.511811023622047" footer="0.51181102362204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31" zoomScalePageLayoutView="0" workbookViewId="0" topLeftCell="A1">
      <pane xSplit="3" ySplit="3" topLeftCell="D19" activePane="bottomRight" state="frozen"/>
      <selection pane="topLeft" activeCell="D38" sqref="D38:G60"/>
      <selection pane="topRight" activeCell="D38" sqref="D38:G60"/>
      <selection pane="bottomLeft" activeCell="D38" sqref="D38:G60"/>
      <selection pane="bottomRight" activeCell="D38" sqref="D38:G60"/>
    </sheetView>
  </sheetViews>
  <sheetFormatPr defaultColWidth="9.140625" defaultRowHeight="12.75"/>
  <cols>
    <col min="1" max="1" width="6.00390625" style="26" customWidth="1"/>
    <col min="2" max="2" width="3.28125" style="26" bestFit="1" customWidth="1"/>
    <col min="3" max="3" width="61.421875" style="26" customWidth="1"/>
    <col min="4" max="4" width="20.140625" style="234" customWidth="1"/>
    <col min="5" max="5" width="19.140625" style="234" customWidth="1"/>
    <col min="6" max="6" width="18.00390625" style="234" customWidth="1"/>
    <col min="7" max="7" width="17.8515625" style="234" customWidth="1"/>
    <col min="8" max="8" width="23.421875" style="234" customWidth="1"/>
    <col min="9" max="9" width="15.28125" style="241" bestFit="1" customWidth="1"/>
    <col min="10" max="10" width="12.7109375" style="234" customWidth="1"/>
    <col min="11" max="11" width="28.00390625" style="235" customWidth="1"/>
    <col min="12" max="12" width="9.140625" style="26" customWidth="1"/>
    <col min="13" max="13" width="16.57421875" style="146" customWidth="1"/>
    <col min="14" max="14" width="16.140625" style="146" bestFit="1" customWidth="1"/>
    <col min="15" max="15" width="16.7109375" style="26" bestFit="1" customWidth="1"/>
    <col min="16" max="16384" width="9.140625" style="26" customWidth="1"/>
  </cols>
  <sheetData>
    <row r="1" spans="3:14" s="150" customFormat="1" ht="24">
      <c r="C1" s="149" t="s">
        <v>118</v>
      </c>
      <c r="D1" s="222"/>
      <c r="E1" s="222"/>
      <c r="F1" s="222"/>
      <c r="G1" s="222"/>
      <c r="H1" s="222"/>
      <c r="I1" s="236"/>
      <c r="J1" s="222"/>
      <c r="K1" s="223"/>
      <c r="M1" s="218"/>
      <c r="N1" s="218"/>
    </row>
    <row r="2" spans="4:14" s="150" customFormat="1" ht="24">
      <c r="D2" s="222"/>
      <c r="E2" s="222"/>
      <c r="F2" s="222"/>
      <c r="G2" s="222"/>
      <c r="H2" s="222"/>
      <c r="I2" s="236"/>
      <c r="J2" s="224"/>
      <c r="K2" s="225" t="s">
        <v>17</v>
      </c>
      <c r="M2" s="218"/>
      <c r="N2" s="218"/>
    </row>
    <row r="3" spans="2:14" s="151" customFormat="1" ht="48">
      <c r="B3" s="209"/>
      <c r="C3" s="210" t="s">
        <v>14</v>
      </c>
      <c r="D3" s="226" t="s">
        <v>0</v>
      </c>
      <c r="E3" s="226" t="s">
        <v>1</v>
      </c>
      <c r="F3" s="226" t="s">
        <v>2</v>
      </c>
      <c r="G3" s="226" t="s">
        <v>3</v>
      </c>
      <c r="H3" s="226" t="s">
        <v>11</v>
      </c>
      <c r="I3" s="237" t="s">
        <v>9</v>
      </c>
      <c r="J3" s="226" t="s">
        <v>10</v>
      </c>
      <c r="K3" s="227" t="s">
        <v>12</v>
      </c>
      <c r="M3" s="347"/>
      <c r="N3" s="347"/>
    </row>
    <row r="4" spans="2:14" s="143" customFormat="1" ht="24">
      <c r="B4" s="211"/>
      <c r="C4" s="212" t="s">
        <v>15</v>
      </c>
      <c r="D4" s="228"/>
      <c r="E4" s="228"/>
      <c r="F4" s="228"/>
      <c r="G4" s="228"/>
      <c r="H4" s="228"/>
      <c r="I4" s="238"/>
      <c r="J4" s="228"/>
      <c r="K4" s="229"/>
      <c r="M4" s="221">
        <f>SUM(M5:M9)</f>
        <v>321345415.42000014</v>
      </c>
      <c r="N4" s="221"/>
    </row>
    <row r="5" spans="1:15" s="354" customFormat="1" ht="24">
      <c r="A5" s="354">
        <v>115</v>
      </c>
      <c r="B5" s="348">
        <v>1</v>
      </c>
      <c r="C5" s="349" t="s">
        <v>247</v>
      </c>
      <c r="D5" s="350">
        <v>9717102.57</v>
      </c>
      <c r="E5" s="350">
        <v>20507.49</v>
      </c>
      <c r="F5" s="350">
        <v>1246185.83</v>
      </c>
      <c r="G5" s="350">
        <v>29697.14</v>
      </c>
      <c r="H5" s="350">
        <f>SUM(D5:G5)</f>
        <v>11013493.030000001</v>
      </c>
      <c r="I5" s="351">
        <v>65</v>
      </c>
      <c r="J5" s="352" t="s">
        <v>4</v>
      </c>
      <c r="K5" s="353">
        <f>H5/I5</f>
        <v>169438.35430769232</v>
      </c>
      <c r="M5" s="355">
        <f>+H5+H6+H7+H9</f>
        <v>319891814.14000005</v>
      </c>
      <c r="N5" s="355">
        <v>320355553.40336293</v>
      </c>
      <c r="O5" s="356">
        <f>+N5-M4</f>
        <v>-989862.0166372061</v>
      </c>
    </row>
    <row r="6" spans="1:15" s="354" customFormat="1" ht="24">
      <c r="A6" s="354">
        <v>116</v>
      </c>
      <c r="B6" s="348">
        <f>+B5+1</f>
        <v>2</v>
      </c>
      <c r="C6" s="349" t="s">
        <v>248</v>
      </c>
      <c r="D6" s="350">
        <v>7209463.18</v>
      </c>
      <c r="E6" s="350">
        <v>15215.23</v>
      </c>
      <c r="F6" s="350">
        <v>924589.47</v>
      </c>
      <c r="G6" s="350">
        <v>22033.36</v>
      </c>
      <c r="H6" s="350">
        <f aca="true" t="shared" si="0" ref="H6:H35">SUM(D6:G6)</f>
        <v>8171301.24</v>
      </c>
      <c r="I6" s="351">
        <v>50</v>
      </c>
      <c r="J6" s="352" t="s">
        <v>4</v>
      </c>
      <c r="K6" s="353">
        <f>H6/I6</f>
        <v>163426.0248</v>
      </c>
      <c r="M6" s="355">
        <v>1544753.1</v>
      </c>
      <c r="N6" s="355"/>
      <c r="O6" s="356"/>
    </row>
    <row r="7" spans="1:15" s="354" customFormat="1" ht="24">
      <c r="A7" s="354">
        <v>117</v>
      </c>
      <c r="B7" s="348">
        <f aca="true" t="shared" si="1" ref="B7:B35">+B6+1</f>
        <v>3</v>
      </c>
      <c r="C7" s="357" t="s">
        <v>249</v>
      </c>
      <c r="D7" s="350">
        <v>2821094.29</v>
      </c>
      <c r="E7" s="350">
        <v>5953.79</v>
      </c>
      <c r="F7" s="350">
        <v>361795.88</v>
      </c>
      <c r="G7" s="350">
        <v>8621.75</v>
      </c>
      <c r="H7" s="350">
        <f t="shared" si="0"/>
        <v>3197465.71</v>
      </c>
      <c r="I7" s="351">
        <v>19</v>
      </c>
      <c r="J7" s="352" t="s">
        <v>4</v>
      </c>
      <c r="K7" s="353">
        <f aca="true" t="shared" si="2" ref="K7:K36">H7/I7</f>
        <v>168287.66894736842</v>
      </c>
      <c r="M7" s="355">
        <v>-120349.71</v>
      </c>
      <c r="N7" s="355"/>
      <c r="O7" s="356"/>
    </row>
    <row r="8" spans="1:15" s="354" customFormat="1" ht="24">
      <c r="A8" s="354">
        <v>141</v>
      </c>
      <c r="B8" s="348">
        <f t="shared" si="1"/>
        <v>4</v>
      </c>
      <c r="C8" s="357" t="s">
        <v>250</v>
      </c>
      <c r="D8" s="350">
        <f>1559025.8+25819196.13+10511759.48</f>
        <v>37889981.41</v>
      </c>
      <c r="E8" s="350">
        <f>3290.25+56894.21+51807.6</f>
        <v>111992.06</v>
      </c>
      <c r="F8" s="350">
        <f>199939.83+1468862.81+9657819.85</f>
        <v>11326622.49</v>
      </c>
      <c r="G8" s="350">
        <f>4764.65+2049882.2+71196.48</f>
        <v>2125843.33</v>
      </c>
      <c r="H8" s="350">
        <f t="shared" si="0"/>
        <v>51454439.29</v>
      </c>
      <c r="I8" s="351">
        <v>10</v>
      </c>
      <c r="J8" s="352" t="s">
        <v>4</v>
      </c>
      <c r="K8" s="353">
        <f>H8/I8</f>
        <v>5145443.929</v>
      </c>
      <c r="M8" s="355">
        <v>24979.41</v>
      </c>
      <c r="N8" s="355"/>
      <c r="O8" s="356"/>
    </row>
    <row r="9" spans="1:15" s="354" customFormat="1" ht="24">
      <c r="A9" s="354">
        <v>128</v>
      </c>
      <c r="B9" s="348">
        <f t="shared" si="1"/>
        <v>5</v>
      </c>
      <c r="C9" s="349" t="s">
        <v>251</v>
      </c>
      <c r="D9" s="350">
        <v>284790057.23</v>
      </c>
      <c r="E9" s="350">
        <v>4197714.61</v>
      </c>
      <c r="F9" s="350">
        <v>4148171.13</v>
      </c>
      <c r="G9" s="350">
        <v>4373611.19</v>
      </c>
      <c r="H9" s="350">
        <f t="shared" si="0"/>
        <v>297509554.16</v>
      </c>
      <c r="I9" s="351">
        <v>118</v>
      </c>
      <c r="J9" s="352" t="s">
        <v>4</v>
      </c>
      <c r="K9" s="353">
        <f t="shared" si="2"/>
        <v>2521267.4081355934</v>
      </c>
      <c r="M9" s="355">
        <v>4218.48</v>
      </c>
      <c r="N9" s="355"/>
      <c r="O9" s="356"/>
    </row>
    <row r="10" spans="1:15" s="354" customFormat="1" ht="24">
      <c r="A10" s="354">
        <v>148</v>
      </c>
      <c r="B10" s="348">
        <f t="shared" si="1"/>
        <v>6</v>
      </c>
      <c r="C10" s="349" t="s">
        <v>314</v>
      </c>
      <c r="D10" s="350">
        <v>3118051.58</v>
      </c>
      <c r="E10" s="350">
        <v>6580.5</v>
      </c>
      <c r="F10" s="350">
        <v>399879.65</v>
      </c>
      <c r="G10" s="350">
        <v>9529.31</v>
      </c>
      <c r="H10" s="350">
        <f t="shared" si="0"/>
        <v>3534041.04</v>
      </c>
      <c r="I10" s="351">
        <v>7</v>
      </c>
      <c r="J10" s="352" t="s">
        <v>4</v>
      </c>
      <c r="K10" s="353">
        <f t="shared" si="2"/>
        <v>504863.0057142857</v>
      </c>
      <c r="M10" s="355"/>
      <c r="N10" s="355"/>
      <c r="O10" s="356"/>
    </row>
    <row r="11" spans="1:15" s="521" customFormat="1" ht="24">
      <c r="A11" s="521">
        <v>150</v>
      </c>
      <c r="B11" s="522">
        <f t="shared" si="1"/>
        <v>7</v>
      </c>
      <c r="C11" s="536" t="s">
        <v>330</v>
      </c>
      <c r="D11" s="524"/>
      <c r="E11" s="524"/>
      <c r="F11" s="524"/>
      <c r="G11" s="524"/>
      <c r="H11" s="524">
        <f t="shared" si="0"/>
        <v>0</v>
      </c>
      <c r="I11" s="525">
        <v>1</v>
      </c>
      <c r="J11" s="526" t="s">
        <v>4</v>
      </c>
      <c r="K11" s="527">
        <f t="shared" si="2"/>
        <v>0</v>
      </c>
      <c r="M11" s="528"/>
      <c r="N11" s="528"/>
      <c r="O11" s="529"/>
    </row>
    <row r="12" spans="1:15" s="521" customFormat="1" ht="24">
      <c r="A12" s="521">
        <v>151</v>
      </c>
      <c r="B12" s="522">
        <f t="shared" si="1"/>
        <v>8</v>
      </c>
      <c r="C12" s="536" t="s">
        <v>317</v>
      </c>
      <c r="D12" s="524"/>
      <c r="E12" s="524"/>
      <c r="F12" s="524"/>
      <c r="G12" s="524"/>
      <c r="H12" s="524">
        <f t="shared" si="0"/>
        <v>0</v>
      </c>
      <c r="I12" s="525">
        <v>1</v>
      </c>
      <c r="J12" s="526" t="s">
        <v>4</v>
      </c>
      <c r="K12" s="527">
        <f t="shared" si="2"/>
        <v>0</v>
      </c>
      <c r="M12" s="528"/>
      <c r="N12" s="528"/>
      <c r="O12" s="529"/>
    </row>
    <row r="13" spans="1:15" s="364" customFormat="1" ht="24">
      <c r="A13" s="364">
        <v>118</v>
      </c>
      <c r="B13" s="358">
        <f>+B12+1</f>
        <v>9</v>
      </c>
      <c r="C13" s="359" t="s">
        <v>290</v>
      </c>
      <c r="D13" s="360">
        <v>20238451.83</v>
      </c>
      <c r="E13" s="360">
        <v>102069.25</v>
      </c>
      <c r="F13" s="360">
        <v>4164814.52</v>
      </c>
      <c r="G13" s="360">
        <v>47451.25</v>
      </c>
      <c r="H13" s="360">
        <f t="shared" si="0"/>
        <v>24552786.849999998</v>
      </c>
      <c r="I13" s="361">
        <v>1079</v>
      </c>
      <c r="J13" s="362" t="s">
        <v>4</v>
      </c>
      <c r="K13" s="363">
        <f t="shared" si="2"/>
        <v>22755.131464318813</v>
      </c>
      <c r="M13" s="365"/>
      <c r="N13" s="365"/>
      <c r="O13" s="366"/>
    </row>
    <row r="14" spans="1:15" s="364" customFormat="1" ht="24">
      <c r="A14" s="364">
        <v>119</v>
      </c>
      <c r="B14" s="358">
        <f t="shared" si="1"/>
        <v>10</v>
      </c>
      <c r="C14" s="367" t="s">
        <v>252</v>
      </c>
      <c r="D14" s="360">
        <v>266880.68</v>
      </c>
      <c r="E14" s="360">
        <v>1345.97</v>
      </c>
      <c r="F14" s="360">
        <v>54920.63</v>
      </c>
      <c r="G14" s="360">
        <v>625.73</v>
      </c>
      <c r="H14" s="360">
        <f t="shared" si="0"/>
        <v>323773.00999999995</v>
      </c>
      <c r="I14" s="361">
        <v>1911</v>
      </c>
      <c r="J14" s="362" t="s">
        <v>5</v>
      </c>
      <c r="K14" s="363">
        <f t="shared" si="2"/>
        <v>169.42596023024592</v>
      </c>
      <c r="M14" s="365"/>
      <c r="N14" s="365"/>
      <c r="O14" s="366"/>
    </row>
    <row r="15" spans="1:15" s="364" customFormat="1" ht="24">
      <c r="A15" s="364">
        <v>120</v>
      </c>
      <c r="B15" s="358">
        <f t="shared" si="1"/>
        <v>11</v>
      </c>
      <c r="C15" s="367" t="s">
        <v>253</v>
      </c>
      <c r="D15" s="360">
        <v>1989743.76</v>
      </c>
      <c r="E15" s="360">
        <v>10034.94</v>
      </c>
      <c r="F15" s="360">
        <v>409463.82</v>
      </c>
      <c r="G15" s="360">
        <v>4665.17</v>
      </c>
      <c r="H15" s="360">
        <f t="shared" si="0"/>
        <v>2413907.69</v>
      </c>
      <c r="I15" s="361">
        <v>28</v>
      </c>
      <c r="J15" s="362" t="s">
        <v>4</v>
      </c>
      <c r="K15" s="363">
        <f t="shared" si="2"/>
        <v>86210.98892857143</v>
      </c>
      <c r="M15" s="365"/>
      <c r="N15" s="365"/>
      <c r="O15" s="366"/>
    </row>
    <row r="16" spans="1:15" s="364" customFormat="1" ht="24">
      <c r="A16" s="364">
        <v>121</v>
      </c>
      <c r="B16" s="358">
        <f t="shared" si="1"/>
        <v>12</v>
      </c>
      <c r="C16" s="367" t="s">
        <v>254</v>
      </c>
      <c r="D16" s="360">
        <v>2760732.4</v>
      </c>
      <c r="E16" s="360">
        <v>13923.289999999999</v>
      </c>
      <c r="F16" s="360">
        <v>568123.42</v>
      </c>
      <c r="G16" s="360">
        <v>6472.85</v>
      </c>
      <c r="H16" s="360">
        <f t="shared" si="0"/>
        <v>3349251.96</v>
      </c>
      <c r="I16" s="361">
        <v>83</v>
      </c>
      <c r="J16" s="362" t="s">
        <v>4</v>
      </c>
      <c r="K16" s="363">
        <f t="shared" si="2"/>
        <v>40352.433253012045</v>
      </c>
      <c r="M16" s="365"/>
      <c r="N16" s="365"/>
      <c r="O16" s="366"/>
    </row>
    <row r="17" spans="1:15" s="364" customFormat="1" ht="24">
      <c r="A17" s="364">
        <v>122</v>
      </c>
      <c r="B17" s="358">
        <f t="shared" si="1"/>
        <v>13</v>
      </c>
      <c r="C17" s="367" t="s">
        <v>320</v>
      </c>
      <c r="D17" s="360">
        <v>29653409.26</v>
      </c>
      <c r="E17" s="360">
        <v>149552.01</v>
      </c>
      <c r="F17" s="360">
        <v>6102292.35</v>
      </c>
      <c r="G17" s="360">
        <v>69525.65</v>
      </c>
      <c r="H17" s="360">
        <f t="shared" si="0"/>
        <v>35974779.27</v>
      </c>
      <c r="I17" s="361">
        <v>9</v>
      </c>
      <c r="J17" s="362" t="s">
        <v>4</v>
      </c>
      <c r="K17" s="363">
        <f t="shared" si="2"/>
        <v>3997197.6966666672</v>
      </c>
      <c r="M17" s="365"/>
      <c r="N17" s="365"/>
      <c r="O17" s="366"/>
    </row>
    <row r="18" spans="1:15" s="364" customFormat="1" ht="24">
      <c r="A18" s="364">
        <v>123</v>
      </c>
      <c r="B18" s="358">
        <f t="shared" si="1"/>
        <v>14</v>
      </c>
      <c r="C18" s="367" t="s">
        <v>255</v>
      </c>
      <c r="D18" s="360">
        <v>1574596.04</v>
      </c>
      <c r="E18" s="360">
        <v>7941.21</v>
      </c>
      <c r="F18" s="360">
        <v>324031.72</v>
      </c>
      <c r="G18" s="360">
        <v>3691.81</v>
      </c>
      <c r="H18" s="360">
        <f t="shared" si="0"/>
        <v>1910260.78</v>
      </c>
      <c r="I18" s="361">
        <v>60</v>
      </c>
      <c r="J18" s="362" t="s">
        <v>4</v>
      </c>
      <c r="K18" s="363">
        <f t="shared" si="2"/>
        <v>31837.679666666667</v>
      </c>
      <c r="M18" s="365"/>
      <c r="N18" s="365"/>
      <c r="O18" s="366"/>
    </row>
    <row r="19" spans="1:15" s="364" customFormat="1" ht="24">
      <c r="A19" s="364">
        <v>124</v>
      </c>
      <c r="B19" s="358">
        <f t="shared" si="1"/>
        <v>15</v>
      </c>
      <c r="C19" s="367" t="s">
        <v>256</v>
      </c>
      <c r="D19" s="360">
        <v>355840.91</v>
      </c>
      <c r="E19" s="360">
        <v>1794.62</v>
      </c>
      <c r="F19" s="360">
        <v>73227.51</v>
      </c>
      <c r="G19" s="360">
        <v>834.31</v>
      </c>
      <c r="H19" s="360">
        <f t="shared" si="0"/>
        <v>431697.35</v>
      </c>
      <c r="I19" s="361">
        <v>240</v>
      </c>
      <c r="J19" s="362" t="s">
        <v>4</v>
      </c>
      <c r="K19" s="363">
        <f t="shared" si="2"/>
        <v>1798.7389583333331</v>
      </c>
      <c r="M19" s="365"/>
      <c r="N19" s="365"/>
      <c r="O19" s="366"/>
    </row>
    <row r="20" spans="1:15" s="364" customFormat="1" ht="24">
      <c r="A20" s="364">
        <v>125</v>
      </c>
      <c r="B20" s="358">
        <f t="shared" si="1"/>
        <v>16</v>
      </c>
      <c r="C20" s="367" t="s">
        <v>257</v>
      </c>
      <c r="D20" s="360">
        <v>711681.82</v>
      </c>
      <c r="E20" s="360">
        <v>3589.25</v>
      </c>
      <c r="F20" s="360">
        <v>146455.02</v>
      </c>
      <c r="G20" s="360">
        <v>1668.62</v>
      </c>
      <c r="H20" s="360">
        <f t="shared" si="0"/>
        <v>863394.71</v>
      </c>
      <c r="I20" s="361">
        <v>12</v>
      </c>
      <c r="J20" s="362" t="s">
        <v>4</v>
      </c>
      <c r="K20" s="363">
        <f t="shared" si="2"/>
        <v>71949.55916666666</v>
      </c>
      <c r="M20" s="365"/>
      <c r="N20" s="365"/>
      <c r="O20" s="366"/>
    </row>
    <row r="21" spans="1:15" s="364" customFormat="1" ht="24">
      <c r="A21" s="364">
        <v>126</v>
      </c>
      <c r="B21" s="358">
        <f t="shared" si="1"/>
        <v>17</v>
      </c>
      <c r="C21" s="367" t="s">
        <v>258</v>
      </c>
      <c r="D21" s="360">
        <v>45461718.800000004</v>
      </c>
      <c r="E21" s="360">
        <v>100956.5</v>
      </c>
      <c r="F21" s="360">
        <v>786318.31</v>
      </c>
      <c r="G21" s="360">
        <v>2160824.5799999996</v>
      </c>
      <c r="H21" s="360">
        <f t="shared" si="0"/>
        <v>48509818.190000005</v>
      </c>
      <c r="I21" s="361">
        <v>16</v>
      </c>
      <c r="J21" s="362" t="s">
        <v>4</v>
      </c>
      <c r="K21" s="363">
        <f t="shared" si="2"/>
        <v>3031863.6368750003</v>
      </c>
      <c r="M21" s="365"/>
      <c r="N21" s="365"/>
      <c r="O21" s="366"/>
    </row>
    <row r="22" spans="1:15" s="364" customFormat="1" ht="24">
      <c r="A22" s="364">
        <v>153</v>
      </c>
      <c r="B22" s="358">
        <f t="shared" si="1"/>
        <v>18</v>
      </c>
      <c r="C22" s="367" t="s">
        <v>318</v>
      </c>
      <c r="D22" s="360">
        <v>29653409.26</v>
      </c>
      <c r="E22" s="360">
        <v>149552.01</v>
      </c>
      <c r="F22" s="360">
        <v>6102292.35</v>
      </c>
      <c r="G22" s="360">
        <v>69525.65</v>
      </c>
      <c r="H22" s="360">
        <f t="shared" si="0"/>
        <v>35974779.27</v>
      </c>
      <c r="I22" s="361">
        <v>1</v>
      </c>
      <c r="J22" s="362" t="s">
        <v>90</v>
      </c>
      <c r="K22" s="363">
        <f t="shared" si="2"/>
        <v>35974779.27</v>
      </c>
      <c r="M22" s="365"/>
      <c r="N22" s="365"/>
      <c r="O22" s="366"/>
    </row>
    <row r="23" spans="1:15" s="374" customFormat="1" ht="24">
      <c r="A23" s="374">
        <v>129</v>
      </c>
      <c r="B23" s="368">
        <f>+B22+1</f>
        <v>19</v>
      </c>
      <c r="C23" s="369" t="s">
        <v>259</v>
      </c>
      <c r="D23" s="370">
        <v>13151303.86</v>
      </c>
      <c r="E23" s="370">
        <v>86349.76999999999</v>
      </c>
      <c r="F23" s="370">
        <v>865706.95</v>
      </c>
      <c r="G23" s="370">
        <v>107919.18</v>
      </c>
      <c r="H23" s="370">
        <f t="shared" si="0"/>
        <v>14211279.759999998</v>
      </c>
      <c r="I23" s="371">
        <v>37</v>
      </c>
      <c r="J23" s="372" t="s">
        <v>4</v>
      </c>
      <c r="K23" s="373">
        <f t="shared" si="2"/>
        <v>384088.6421621621</v>
      </c>
      <c r="M23" s="375">
        <f>+H23+H26</f>
        <v>14211279.759999998</v>
      </c>
      <c r="N23" s="375">
        <v>14893665.32</v>
      </c>
      <c r="O23" s="376">
        <f>+M23-N23</f>
        <v>-682385.5600000024</v>
      </c>
    </row>
    <row r="24" spans="1:15" s="383" customFormat="1" ht="24">
      <c r="A24" s="383">
        <v>136</v>
      </c>
      <c r="B24" s="377">
        <f t="shared" si="1"/>
        <v>20</v>
      </c>
      <c r="C24" s="378" t="s">
        <v>260</v>
      </c>
      <c r="D24" s="379">
        <v>15297137.930228878</v>
      </c>
      <c r="E24" s="379">
        <v>34537.51</v>
      </c>
      <c r="F24" s="379">
        <v>246791.24000000005</v>
      </c>
      <c r="G24" s="379">
        <v>129164.72</v>
      </c>
      <c r="H24" s="379">
        <f t="shared" si="0"/>
        <v>15707631.400228878</v>
      </c>
      <c r="I24" s="380">
        <v>94</v>
      </c>
      <c r="J24" s="381" t="s">
        <v>4</v>
      </c>
      <c r="K24" s="382">
        <f t="shared" si="2"/>
        <v>167102.46170456253</v>
      </c>
      <c r="M24" s="384">
        <f>+H24+H25</f>
        <v>31415262.810228877</v>
      </c>
      <c r="N24" s="384">
        <v>50681640.58563123</v>
      </c>
      <c r="O24" s="385">
        <f>+M24-N24</f>
        <v>-19266377.775402352</v>
      </c>
    </row>
    <row r="25" spans="1:15" s="383" customFormat="1" ht="24">
      <c r="A25" s="383">
        <v>142</v>
      </c>
      <c r="B25" s="377">
        <f t="shared" si="1"/>
        <v>21</v>
      </c>
      <c r="C25" s="378" t="s">
        <v>285</v>
      </c>
      <c r="D25" s="379">
        <v>15297137.93</v>
      </c>
      <c r="E25" s="379">
        <v>34537.51</v>
      </c>
      <c r="F25" s="379">
        <v>246791.24000000005</v>
      </c>
      <c r="G25" s="379">
        <v>129164.73</v>
      </c>
      <c r="H25" s="379">
        <f t="shared" si="0"/>
        <v>15707631.41</v>
      </c>
      <c r="I25" s="380">
        <v>950</v>
      </c>
      <c r="J25" s="381" t="s">
        <v>4</v>
      </c>
      <c r="K25" s="382">
        <f t="shared" si="2"/>
        <v>16534.348852631578</v>
      </c>
      <c r="M25" s="384"/>
      <c r="N25" s="384"/>
      <c r="O25" s="385"/>
    </row>
    <row r="26" spans="1:15" s="521" customFormat="1" ht="24">
      <c r="A26" s="521">
        <v>135</v>
      </c>
      <c r="B26" s="522">
        <f t="shared" si="1"/>
        <v>22</v>
      </c>
      <c r="C26" s="523" t="s">
        <v>261</v>
      </c>
      <c r="D26" s="524"/>
      <c r="E26" s="524"/>
      <c r="F26" s="524"/>
      <c r="G26" s="524"/>
      <c r="H26" s="524">
        <f t="shared" si="0"/>
        <v>0</v>
      </c>
      <c r="I26" s="525">
        <f>1+1</f>
        <v>2</v>
      </c>
      <c r="J26" s="526" t="s">
        <v>4</v>
      </c>
      <c r="K26" s="527">
        <f t="shared" si="2"/>
        <v>0</v>
      </c>
      <c r="M26" s="528"/>
      <c r="N26" s="528"/>
      <c r="O26" s="529"/>
    </row>
    <row r="27" spans="1:15" s="521" customFormat="1" ht="24">
      <c r="A27" s="521">
        <v>146</v>
      </c>
      <c r="B27" s="522">
        <f t="shared" si="1"/>
        <v>23</v>
      </c>
      <c r="C27" s="523" t="s">
        <v>313</v>
      </c>
      <c r="D27" s="524"/>
      <c r="E27" s="524"/>
      <c r="F27" s="524"/>
      <c r="G27" s="524"/>
      <c r="H27" s="524">
        <f t="shared" si="0"/>
        <v>0</v>
      </c>
      <c r="I27" s="525">
        <v>1</v>
      </c>
      <c r="J27" s="526" t="s">
        <v>4</v>
      </c>
      <c r="K27" s="527">
        <f t="shared" si="2"/>
        <v>0</v>
      </c>
      <c r="M27" s="528"/>
      <c r="N27" s="528"/>
      <c r="O27" s="529"/>
    </row>
    <row r="28" spans="1:15" s="392" customFormat="1" ht="24">
      <c r="A28" s="392">
        <v>131</v>
      </c>
      <c r="B28" s="386">
        <f>+B27+1</f>
        <v>24</v>
      </c>
      <c r="C28" s="387" t="s">
        <v>281</v>
      </c>
      <c r="D28" s="388">
        <v>5022328.42</v>
      </c>
      <c r="E28" s="388">
        <v>10799.47</v>
      </c>
      <c r="F28" s="388">
        <v>172304.41</v>
      </c>
      <c r="G28" s="388">
        <v>15919.48</v>
      </c>
      <c r="H28" s="388">
        <f t="shared" si="0"/>
        <v>5221351.78</v>
      </c>
      <c r="I28" s="389">
        <v>10</v>
      </c>
      <c r="J28" s="390" t="s">
        <v>4</v>
      </c>
      <c r="K28" s="391">
        <f t="shared" si="2"/>
        <v>522135.178</v>
      </c>
      <c r="M28" s="393">
        <f>+H28+H29+H30+H31+H32+H33</f>
        <v>27832365.568052</v>
      </c>
      <c r="N28" s="393">
        <v>27468431.479664747</v>
      </c>
      <c r="O28" s="394">
        <f>+M28-N28</f>
        <v>363934.0883872546</v>
      </c>
    </row>
    <row r="29" spans="1:15" s="392" customFormat="1" ht="24">
      <c r="A29" s="392">
        <v>132</v>
      </c>
      <c r="B29" s="386">
        <f t="shared" si="1"/>
        <v>25</v>
      </c>
      <c r="C29" s="387" t="s">
        <v>262</v>
      </c>
      <c r="D29" s="388">
        <v>1646445.61</v>
      </c>
      <c r="E29" s="388">
        <v>3540.34</v>
      </c>
      <c r="F29" s="388">
        <v>56485.72</v>
      </c>
      <c r="G29" s="388">
        <v>5218.81</v>
      </c>
      <c r="H29" s="388">
        <f t="shared" si="0"/>
        <v>1711690.4800000002</v>
      </c>
      <c r="I29" s="389">
        <v>8</v>
      </c>
      <c r="J29" s="390" t="s">
        <v>4</v>
      </c>
      <c r="K29" s="391">
        <f t="shared" si="2"/>
        <v>213961.31000000003</v>
      </c>
      <c r="M29" s="393"/>
      <c r="N29" s="393"/>
      <c r="O29" s="394"/>
    </row>
    <row r="30" spans="1:15" s="392" customFormat="1" ht="24">
      <c r="A30" s="392">
        <v>133</v>
      </c>
      <c r="B30" s="386">
        <f t="shared" si="1"/>
        <v>26</v>
      </c>
      <c r="C30" s="387" t="s">
        <v>263</v>
      </c>
      <c r="D30" s="388">
        <v>5929881.35</v>
      </c>
      <c r="E30" s="388">
        <v>12750.98</v>
      </c>
      <c r="F30" s="388">
        <v>203440.44</v>
      </c>
      <c r="G30" s="388">
        <v>18796.2</v>
      </c>
      <c r="H30" s="388">
        <f t="shared" si="0"/>
        <v>6164868.970000001</v>
      </c>
      <c r="I30" s="389">
        <v>13</v>
      </c>
      <c r="J30" s="390" t="s">
        <v>4</v>
      </c>
      <c r="K30" s="391">
        <f t="shared" si="2"/>
        <v>474220.69000000006</v>
      </c>
      <c r="M30" s="395">
        <v>25767149.7</v>
      </c>
      <c r="N30" s="393"/>
      <c r="O30" s="394"/>
    </row>
    <row r="31" spans="1:15" s="392" customFormat="1" ht="72">
      <c r="A31" s="392">
        <v>143</v>
      </c>
      <c r="B31" s="386">
        <f t="shared" si="1"/>
        <v>27</v>
      </c>
      <c r="C31" s="396" t="s">
        <v>284</v>
      </c>
      <c r="D31" s="388">
        <v>13385736.69</v>
      </c>
      <c r="E31" s="388">
        <v>28783.26</v>
      </c>
      <c r="F31" s="388">
        <v>459233.51</v>
      </c>
      <c r="G31" s="388">
        <v>42429.33</v>
      </c>
      <c r="H31" s="388">
        <f t="shared" si="0"/>
        <v>13916182.79</v>
      </c>
      <c r="I31" s="389">
        <v>16</v>
      </c>
      <c r="J31" s="390" t="s">
        <v>4</v>
      </c>
      <c r="K31" s="391">
        <f t="shared" si="2"/>
        <v>869761.424375</v>
      </c>
      <c r="M31" s="395">
        <v>45802.31</v>
      </c>
      <c r="N31" s="393"/>
      <c r="O31" s="394"/>
    </row>
    <row r="32" spans="2:15" s="521" customFormat="1" ht="24">
      <c r="B32" s="522">
        <f t="shared" si="1"/>
        <v>28</v>
      </c>
      <c r="C32" s="523" t="s">
        <v>282</v>
      </c>
      <c r="D32" s="524">
        <v>0</v>
      </c>
      <c r="E32" s="524">
        <v>0</v>
      </c>
      <c r="F32" s="524">
        <v>0</v>
      </c>
      <c r="G32" s="524">
        <v>0</v>
      </c>
      <c r="H32" s="524">
        <f t="shared" si="0"/>
        <v>0</v>
      </c>
      <c r="I32" s="525"/>
      <c r="J32" s="526" t="s">
        <v>4</v>
      </c>
      <c r="K32" s="527" t="e">
        <f t="shared" si="2"/>
        <v>#DIV/0!</v>
      </c>
      <c r="M32" s="528">
        <v>1678576.16</v>
      </c>
      <c r="N32" s="528"/>
      <c r="O32" s="529"/>
    </row>
    <row r="33" spans="1:15" s="392" customFormat="1" ht="24">
      <c r="A33" s="392">
        <v>138</v>
      </c>
      <c r="B33" s="386">
        <f t="shared" si="1"/>
        <v>29</v>
      </c>
      <c r="C33" s="387" t="s">
        <v>336</v>
      </c>
      <c r="D33" s="388">
        <v>787081.317372</v>
      </c>
      <c r="E33" s="388">
        <v>1692.4556879999998</v>
      </c>
      <c r="F33" s="388">
        <v>27002.930388</v>
      </c>
      <c r="G33" s="388">
        <v>2494.844604</v>
      </c>
      <c r="H33" s="388">
        <f t="shared" si="0"/>
        <v>818271.5480519999</v>
      </c>
      <c r="I33" s="389">
        <v>1</v>
      </c>
      <c r="J33" s="390" t="s">
        <v>4</v>
      </c>
      <c r="K33" s="391">
        <f t="shared" si="2"/>
        <v>818271.5480519999</v>
      </c>
      <c r="M33" s="395">
        <v>2010981.85</v>
      </c>
      <c r="N33" s="393"/>
      <c r="O33" s="394"/>
    </row>
    <row r="34" spans="1:15" s="403" customFormat="1" ht="24">
      <c r="A34" s="403">
        <v>130</v>
      </c>
      <c r="B34" s="397">
        <f t="shared" si="1"/>
        <v>30</v>
      </c>
      <c r="C34" s="398" t="s">
        <v>264</v>
      </c>
      <c r="D34" s="399">
        <v>18073437.29</v>
      </c>
      <c r="E34" s="399">
        <v>39825.94</v>
      </c>
      <c r="F34" s="399">
        <v>1028203.97</v>
      </c>
      <c r="G34" s="399">
        <v>1434917.540000001</v>
      </c>
      <c r="H34" s="399">
        <f t="shared" si="0"/>
        <v>20576384.740000002</v>
      </c>
      <c r="I34" s="400">
        <v>2185</v>
      </c>
      <c r="J34" s="401" t="s">
        <v>6</v>
      </c>
      <c r="K34" s="402">
        <f t="shared" si="2"/>
        <v>9417.109720823799</v>
      </c>
      <c r="M34" s="395">
        <f>+H34+M30+M31+M32+M33</f>
        <v>50078894.76</v>
      </c>
      <c r="N34" s="395">
        <v>59005020.03818637</v>
      </c>
      <c r="O34" s="404">
        <f>+M34-N34</f>
        <v>-8926125.278186373</v>
      </c>
    </row>
    <row r="35" spans="1:15" s="403" customFormat="1" ht="24">
      <c r="A35" s="403">
        <v>155</v>
      </c>
      <c r="B35" s="397">
        <f t="shared" si="1"/>
        <v>31</v>
      </c>
      <c r="C35" s="398" t="s">
        <v>331</v>
      </c>
      <c r="D35" s="399">
        <v>7745758.84</v>
      </c>
      <c r="E35" s="399">
        <v>17068.26</v>
      </c>
      <c r="F35" s="399">
        <v>440658.85</v>
      </c>
      <c r="G35" s="399">
        <v>614964.6600000003</v>
      </c>
      <c r="H35" s="399">
        <f t="shared" si="0"/>
        <v>8818450.61</v>
      </c>
      <c r="I35" s="400">
        <v>8</v>
      </c>
      <c r="J35" s="401" t="s">
        <v>4</v>
      </c>
      <c r="K35" s="402">
        <f>H35/I35</f>
        <v>1102306.32625</v>
      </c>
      <c r="M35" s="395"/>
      <c r="N35" s="395"/>
      <c r="O35" s="404"/>
    </row>
    <row r="36" spans="1:15" s="411" customFormat="1" ht="24">
      <c r="A36" s="411">
        <v>127</v>
      </c>
      <c r="B36" s="405">
        <f>+B35+1</f>
        <v>32</v>
      </c>
      <c r="C36" s="406" t="s">
        <v>265</v>
      </c>
      <c r="D36" s="407">
        <v>43993341.74</v>
      </c>
      <c r="E36" s="407">
        <v>581405.39</v>
      </c>
      <c r="F36" s="407">
        <v>5305883.38</v>
      </c>
      <c r="G36" s="407">
        <v>749080.84</v>
      </c>
      <c r="H36" s="407">
        <f>SUM(D36:G36)</f>
        <v>50629711.35000001</v>
      </c>
      <c r="I36" s="408">
        <v>1406</v>
      </c>
      <c r="J36" s="409" t="s">
        <v>98</v>
      </c>
      <c r="K36" s="410">
        <f t="shared" si="2"/>
        <v>36009.75202702703</v>
      </c>
      <c r="M36" s="412">
        <f>+H36</f>
        <v>50629711.35000001</v>
      </c>
      <c r="N36" s="412">
        <v>53373939.910000004</v>
      </c>
      <c r="O36" s="413">
        <f>+H36-N36</f>
        <v>-2744228.559999995</v>
      </c>
    </row>
    <row r="37" spans="2:15" ht="24">
      <c r="B37" s="214"/>
      <c r="C37" s="215" t="s">
        <v>16</v>
      </c>
      <c r="D37" s="414"/>
      <c r="E37" s="414"/>
      <c r="F37" s="414"/>
      <c r="G37" s="414"/>
      <c r="H37" s="414"/>
      <c r="I37" s="239"/>
      <c r="J37" s="230"/>
      <c r="K37" s="231"/>
      <c r="O37" s="415">
        <f>+H37-N37</f>
        <v>0</v>
      </c>
    </row>
    <row r="38" spans="1:15" s="422" customFormat="1" ht="24">
      <c r="A38" s="422">
        <v>100</v>
      </c>
      <c r="B38" s="416">
        <v>1</v>
      </c>
      <c r="C38" s="417" t="s">
        <v>266</v>
      </c>
      <c r="D38" s="418">
        <v>3462998.85</v>
      </c>
      <c r="E38" s="418">
        <v>58090.67</v>
      </c>
      <c r="F38" s="418">
        <v>344409.9</v>
      </c>
      <c r="G38" s="418">
        <v>68348.82</v>
      </c>
      <c r="H38" s="418">
        <f aca="true" t="shared" si="3" ref="H38:H60">SUM(D38:G38)</f>
        <v>3933848.2399999998</v>
      </c>
      <c r="I38" s="419">
        <v>18185</v>
      </c>
      <c r="J38" s="420" t="s">
        <v>7</v>
      </c>
      <c r="K38" s="421">
        <f aca="true" t="shared" si="4" ref="K38:K58">H38/I38</f>
        <v>216.32379653560625</v>
      </c>
      <c r="M38" s="423">
        <f>+H38+H39</f>
        <v>7867696.45</v>
      </c>
      <c r="N38" s="423">
        <v>8124406.667396546</v>
      </c>
      <c r="O38" s="424">
        <f>+M38-N38</f>
        <v>-256710.21739654616</v>
      </c>
    </row>
    <row r="39" spans="1:15" s="422" customFormat="1" ht="24">
      <c r="A39" s="422">
        <v>101</v>
      </c>
      <c r="B39" s="416">
        <f>+B38+1</f>
        <v>2</v>
      </c>
      <c r="C39" s="417" t="s">
        <v>267</v>
      </c>
      <c r="D39" s="418">
        <v>3462998.85</v>
      </c>
      <c r="E39" s="418">
        <v>58090.66</v>
      </c>
      <c r="F39" s="418">
        <v>344409.89</v>
      </c>
      <c r="G39" s="418">
        <v>68348.81</v>
      </c>
      <c r="H39" s="418">
        <f t="shared" si="3"/>
        <v>3933848.2100000004</v>
      </c>
      <c r="I39" s="419">
        <v>1546</v>
      </c>
      <c r="J39" s="420" t="s">
        <v>4</v>
      </c>
      <c r="K39" s="421">
        <f t="shared" si="4"/>
        <v>2544.5331241914623</v>
      </c>
      <c r="M39" s="423"/>
      <c r="N39" s="423"/>
      <c r="O39" s="424"/>
    </row>
    <row r="40" spans="1:15" s="431" customFormat="1" ht="24">
      <c r="A40" s="431">
        <v>102</v>
      </c>
      <c r="B40" s="425">
        <f aca="true" t="shared" si="5" ref="B40:B60">+B39+1</f>
        <v>3</v>
      </c>
      <c r="C40" s="426" t="s">
        <v>268</v>
      </c>
      <c r="D40" s="427">
        <v>2571671.1</v>
      </c>
      <c r="E40" s="427">
        <v>30094.65</v>
      </c>
      <c r="F40" s="427">
        <v>90279.35</v>
      </c>
      <c r="G40" s="427">
        <v>21940.84</v>
      </c>
      <c r="H40" s="427">
        <f t="shared" si="3"/>
        <v>2713985.94</v>
      </c>
      <c r="I40" s="428">
        <v>447</v>
      </c>
      <c r="J40" s="429" t="s">
        <v>6</v>
      </c>
      <c r="K40" s="430">
        <f>H40/I40</f>
        <v>6071.556912751677</v>
      </c>
      <c r="M40" s="432">
        <f>+H40+H41</f>
        <v>8594288.82</v>
      </c>
      <c r="N40" s="432">
        <v>10071305.715631222</v>
      </c>
      <c r="O40" s="433">
        <f>+M40-N40</f>
        <v>-1477016.895631222</v>
      </c>
    </row>
    <row r="41" spans="1:15" s="431" customFormat="1" ht="24">
      <c r="A41" s="431">
        <v>103</v>
      </c>
      <c r="B41" s="425">
        <f t="shared" si="5"/>
        <v>4</v>
      </c>
      <c r="C41" s="426" t="s">
        <v>269</v>
      </c>
      <c r="D41" s="427">
        <v>5571954.05</v>
      </c>
      <c r="E41" s="427">
        <v>65205.08</v>
      </c>
      <c r="F41" s="427">
        <v>195605.27</v>
      </c>
      <c r="G41" s="427">
        <v>47538.48</v>
      </c>
      <c r="H41" s="427">
        <f t="shared" si="3"/>
        <v>5880302.88</v>
      </c>
      <c r="I41" s="428">
        <v>16356</v>
      </c>
      <c r="J41" s="429" t="s">
        <v>42</v>
      </c>
      <c r="K41" s="430">
        <f t="shared" si="4"/>
        <v>359.519618488628</v>
      </c>
      <c r="M41" s="432"/>
      <c r="N41" s="432"/>
      <c r="O41" s="433"/>
    </row>
    <row r="42" spans="1:15" s="431" customFormat="1" ht="24">
      <c r="A42" s="431">
        <v>159</v>
      </c>
      <c r="B42" s="425">
        <f t="shared" si="5"/>
        <v>5</v>
      </c>
      <c r="C42" s="426" t="s">
        <v>332</v>
      </c>
      <c r="D42" s="427">
        <v>428611.85</v>
      </c>
      <c r="E42" s="427">
        <v>5015.78</v>
      </c>
      <c r="F42" s="427">
        <v>15046.56</v>
      </c>
      <c r="G42" s="427">
        <v>3656.81</v>
      </c>
      <c r="H42" s="427">
        <f t="shared" si="3"/>
        <v>452331</v>
      </c>
      <c r="I42" s="428">
        <v>1</v>
      </c>
      <c r="J42" s="429" t="s">
        <v>327</v>
      </c>
      <c r="K42" s="430">
        <f t="shared" si="4"/>
        <v>452331</v>
      </c>
      <c r="M42" s="432"/>
      <c r="N42" s="432"/>
      <c r="O42" s="433"/>
    </row>
    <row r="43" spans="1:15" s="440" customFormat="1" ht="24">
      <c r="A43" s="440">
        <v>104</v>
      </c>
      <c r="B43" s="434">
        <f>+B42+1</f>
        <v>6</v>
      </c>
      <c r="C43" s="435" t="s">
        <v>270</v>
      </c>
      <c r="D43" s="436">
        <v>2074630.45</v>
      </c>
      <c r="E43" s="436">
        <v>23025.01</v>
      </c>
      <c r="F43" s="436">
        <v>212810.31</v>
      </c>
      <c r="G43" s="436">
        <v>28778.45</v>
      </c>
      <c r="H43" s="436">
        <f t="shared" si="3"/>
        <v>2339244.22</v>
      </c>
      <c r="I43" s="437">
        <v>750</v>
      </c>
      <c r="J43" s="438" t="s">
        <v>8</v>
      </c>
      <c r="K43" s="439">
        <f t="shared" si="4"/>
        <v>3118.9922933333337</v>
      </c>
      <c r="M43" s="441"/>
      <c r="N43" s="441"/>
      <c r="O43" s="442">
        <f>+H43-N43</f>
        <v>2339244.22</v>
      </c>
    </row>
    <row r="44" spans="1:15" s="445" customFormat="1" ht="48">
      <c r="A44" s="445">
        <v>105</v>
      </c>
      <c r="B44" s="448">
        <f t="shared" si="5"/>
        <v>7</v>
      </c>
      <c r="C44" s="519" t="s">
        <v>271</v>
      </c>
      <c r="D44" s="450">
        <v>12457316.21</v>
      </c>
      <c r="E44" s="450">
        <v>47993.62</v>
      </c>
      <c r="F44" s="450">
        <v>367271.26</v>
      </c>
      <c r="G44" s="450">
        <v>5837655.96</v>
      </c>
      <c r="H44" s="450">
        <f t="shared" si="3"/>
        <v>18710237.05</v>
      </c>
      <c r="I44" s="520">
        <f>691+114+147</f>
        <v>952</v>
      </c>
      <c r="J44" s="443" t="s">
        <v>91</v>
      </c>
      <c r="K44" s="444">
        <f t="shared" si="4"/>
        <v>19653.610346638656</v>
      </c>
      <c r="M44" s="446">
        <f>+H44+H45</f>
        <v>44616719.120000005</v>
      </c>
      <c r="N44" s="446">
        <v>56314676.39529606</v>
      </c>
      <c r="O44" s="447">
        <f>+M44-N44</f>
        <v>-11697957.275296055</v>
      </c>
    </row>
    <row r="45" spans="1:15" s="445" customFormat="1" ht="24">
      <c r="A45" s="445">
        <v>106</v>
      </c>
      <c r="B45" s="448">
        <f t="shared" si="5"/>
        <v>8</v>
      </c>
      <c r="C45" s="449" t="s">
        <v>272</v>
      </c>
      <c r="D45" s="450">
        <v>17248591.67</v>
      </c>
      <c r="E45" s="450">
        <v>66452.7</v>
      </c>
      <c r="F45" s="450">
        <v>508529.45</v>
      </c>
      <c r="G45" s="450">
        <v>8082908.25</v>
      </c>
      <c r="H45" s="450">
        <f t="shared" si="3"/>
        <v>25906482.07</v>
      </c>
      <c r="I45" s="451">
        <v>1</v>
      </c>
      <c r="J45" s="452" t="s">
        <v>90</v>
      </c>
      <c r="K45" s="444">
        <f t="shared" si="4"/>
        <v>25906482.07</v>
      </c>
      <c r="M45" s="446"/>
      <c r="N45" s="446"/>
      <c r="O45" s="447"/>
    </row>
    <row r="46" spans="1:15" s="445" customFormat="1" ht="24">
      <c r="A46" s="445">
        <v>156</v>
      </c>
      <c r="B46" s="448">
        <f t="shared" si="5"/>
        <v>9</v>
      </c>
      <c r="C46" s="449" t="s">
        <v>321</v>
      </c>
      <c r="D46" s="450">
        <v>2235928.55</v>
      </c>
      <c r="E46" s="450">
        <v>8614.24</v>
      </c>
      <c r="F46" s="450">
        <v>65920.48</v>
      </c>
      <c r="G46" s="450">
        <v>1047784.4</v>
      </c>
      <c r="H46" s="450">
        <f t="shared" si="3"/>
        <v>3358247.67</v>
      </c>
      <c r="I46" s="451">
        <v>1</v>
      </c>
      <c r="J46" s="452" t="s">
        <v>4</v>
      </c>
      <c r="K46" s="444">
        <f t="shared" si="4"/>
        <v>3358247.67</v>
      </c>
      <c r="M46" s="446"/>
      <c r="N46" s="446"/>
      <c r="O46" s="447"/>
    </row>
    <row r="47" spans="1:15" s="459" customFormat="1" ht="24">
      <c r="A47" s="459">
        <v>107</v>
      </c>
      <c r="B47" s="453">
        <f>+B46+1</f>
        <v>10</v>
      </c>
      <c r="C47" s="454" t="s">
        <v>273</v>
      </c>
      <c r="D47" s="455">
        <v>10511759.47</v>
      </c>
      <c r="E47" s="455">
        <v>51807.59</v>
      </c>
      <c r="F47" s="455">
        <v>9657819.850000001</v>
      </c>
      <c r="G47" s="455">
        <v>71196.49</v>
      </c>
      <c r="H47" s="455">
        <f t="shared" si="3"/>
        <v>20292583.400000002</v>
      </c>
      <c r="I47" s="456">
        <v>1</v>
      </c>
      <c r="J47" s="457" t="s">
        <v>87</v>
      </c>
      <c r="K47" s="458">
        <f>H47/I47</f>
        <v>20292583.400000002</v>
      </c>
      <c r="M47" s="460">
        <f>+H47+H48+8177767.97+32011.01+281413.67+55411.55</f>
        <v>28839187.600000005</v>
      </c>
      <c r="N47" s="460">
        <v>28488680.66529597</v>
      </c>
      <c r="O47" s="461">
        <f>+M47-N47</f>
        <v>350506.9347040355</v>
      </c>
    </row>
    <row r="48" spans="1:15" s="537" customFormat="1" ht="24">
      <c r="A48" s="537">
        <v>135</v>
      </c>
      <c r="B48" s="538">
        <f t="shared" si="5"/>
        <v>11</v>
      </c>
      <c r="C48" s="536" t="s">
        <v>329</v>
      </c>
      <c r="D48" s="539"/>
      <c r="E48" s="539"/>
      <c r="F48" s="539"/>
      <c r="G48" s="539"/>
      <c r="H48" s="539">
        <f t="shared" si="3"/>
        <v>0</v>
      </c>
      <c r="I48" s="540">
        <v>1</v>
      </c>
      <c r="J48" s="541" t="s">
        <v>4</v>
      </c>
      <c r="K48" s="527">
        <f>H48/I48</f>
        <v>0</v>
      </c>
      <c r="M48" s="542"/>
      <c r="N48" s="542"/>
      <c r="O48" s="529"/>
    </row>
    <row r="49" spans="1:15" s="459" customFormat="1" ht="72">
      <c r="A49" s="459">
        <v>157</v>
      </c>
      <c r="B49" s="453">
        <f t="shared" si="5"/>
        <v>12</v>
      </c>
      <c r="C49" s="510" t="s">
        <v>334</v>
      </c>
      <c r="D49" s="455">
        <v>10511759.48</v>
      </c>
      <c r="E49" s="455">
        <v>51807.6</v>
      </c>
      <c r="F49" s="455">
        <v>9657819.85</v>
      </c>
      <c r="G49" s="455">
        <v>71196.48</v>
      </c>
      <c r="H49" s="455">
        <f t="shared" si="3"/>
        <v>20292583.41</v>
      </c>
      <c r="I49" s="509">
        <v>888514400</v>
      </c>
      <c r="J49" s="508" t="s">
        <v>326</v>
      </c>
      <c r="K49" s="458">
        <f>H49/I49</f>
        <v>0.0228387783135535</v>
      </c>
      <c r="M49" s="460"/>
      <c r="N49" s="460"/>
      <c r="O49" s="461"/>
    </row>
    <row r="50" spans="1:15" s="537" customFormat="1" ht="24">
      <c r="A50" s="537">
        <v>146</v>
      </c>
      <c r="B50" s="538">
        <f t="shared" si="5"/>
        <v>13</v>
      </c>
      <c r="C50" s="523" t="s">
        <v>335</v>
      </c>
      <c r="D50" s="539"/>
      <c r="E50" s="539"/>
      <c r="F50" s="539"/>
      <c r="G50" s="539"/>
      <c r="H50" s="539">
        <f t="shared" si="3"/>
        <v>0</v>
      </c>
      <c r="I50" s="543">
        <v>2</v>
      </c>
      <c r="J50" s="544" t="s">
        <v>4</v>
      </c>
      <c r="K50" s="527">
        <f>H50/I50</f>
        <v>0</v>
      </c>
      <c r="M50" s="542"/>
      <c r="N50" s="542"/>
      <c r="O50" s="529"/>
    </row>
    <row r="51" spans="1:15" s="466" customFormat="1" ht="24">
      <c r="A51" s="466">
        <v>108</v>
      </c>
      <c r="B51" s="462">
        <f>+B50+1</f>
        <v>14</v>
      </c>
      <c r="C51" s="406" t="s">
        <v>274</v>
      </c>
      <c r="D51" s="463">
        <v>1384232.37</v>
      </c>
      <c r="E51" s="463">
        <v>18420.4</v>
      </c>
      <c r="F51" s="463">
        <v>137180.77</v>
      </c>
      <c r="G51" s="463">
        <v>24394.88</v>
      </c>
      <c r="H51" s="463">
        <f t="shared" si="3"/>
        <v>1564228.42</v>
      </c>
      <c r="I51" s="464">
        <v>1</v>
      </c>
      <c r="J51" s="465" t="s">
        <v>87</v>
      </c>
      <c r="K51" s="410">
        <f t="shared" si="4"/>
        <v>1564228.42</v>
      </c>
      <c r="M51" s="467">
        <f>+H51+H52+H53</f>
        <v>3910571.07</v>
      </c>
      <c r="N51" s="467">
        <v>3515164.221765324</v>
      </c>
      <c r="O51" s="413">
        <f>+N51-M51</f>
        <v>-395406.8482346758</v>
      </c>
    </row>
    <row r="52" spans="1:15" s="466" customFormat="1" ht="24">
      <c r="A52" s="466">
        <v>139</v>
      </c>
      <c r="B52" s="462">
        <f t="shared" si="5"/>
        <v>15</v>
      </c>
      <c r="C52" s="406" t="s">
        <v>286</v>
      </c>
      <c r="D52" s="463">
        <v>1730290.46</v>
      </c>
      <c r="E52" s="463">
        <v>23025.51</v>
      </c>
      <c r="F52" s="463">
        <v>171475.97</v>
      </c>
      <c r="G52" s="463">
        <v>30493.61</v>
      </c>
      <c r="H52" s="463">
        <f t="shared" si="3"/>
        <v>1955285.55</v>
      </c>
      <c r="I52" s="464">
        <v>1</v>
      </c>
      <c r="J52" s="465" t="s">
        <v>87</v>
      </c>
      <c r="K52" s="410">
        <f>H52/I52</f>
        <v>1955285.55</v>
      </c>
      <c r="M52" s="467"/>
      <c r="N52" s="467"/>
      <c r="O52" s="413"/>
    </row>
    <row r="53" spans="1:15" s="466" customFormat="1" ht="24">
      <c r="A53" s="466">
        <v>140</v>
      </c>
      <c r="B53" s="462">
        <f t="shared" si="5"/>
        <v>16</v>
      </c>
      <c r="C53" s="406" t="s">
        <v>287</v>
      </c>
      <c r="D53" s="463">
        <v>346058.09</v>
      </c>
      <c r="E53" s="463">
        <v>4605.1</v>
      </c>
      <c r="F53" s="463">
        <v>34295.19</v>
      </c>
      <c r="G53" s="463">
        <v>6098.72</v>
      </c>
      <c r="H53" s="463">
        <f t="shared" si="3"/>
        <v>391057.1</v>
      </c>
      <c r="I53" s="464">
        <v>25</v>
      </c>
      <c r="J53" s="465" t="s">
        <v>327</v>
      </c>
      <c r="K53" s="410">
        <f>H53/I53</f>
        <v>15642.284</v>
      </c>
      <c r="M53" s="467"/>
      <c r="N53" s="467"/>
      <c r="O53" s="413"/>
    </row>
    <row r="54" spans="1:15" s="469" customFormat="1" ht="48.75" customHeight="1">
      <c r="A54" s="469">
        <v>109</v>
      </c>
      <c r="B54" s="472">
        <f t="shared" si="5"/>
        <v>17</v>
      </c>
      <c r="C54" s="517" t="s">
        <v>275</v>
      </c>
      <c r="D54" s="474">
        <v>3060387.13</v>
      </c>
      <c r="E54" s="474">
        <v>56955.91</v>
      </c>
      <c r="F54" s="474">
        <v>290097.22</v>
      </c>
      <c r="G54" s="474">
        <v>121109.57</v>
      </c>
      <c r="H54" s="474">
        <f t="shared" si="3"/>
        <v>3528549.8299999996</v>
      </c>
      <c r="I54" s="518">
        <v>57160</v>
      </c>
      <c r="J54" s="468" t="s">
        <v>88</v>
      </c>
      <c r="K54" s="507">
        <f t="shared" si="4"/>
        <v>61.73110269419173</v>
      </c>
      <c r="M54" s="470">
        <f>+H54+H55</f>
        <v>8233282.93</v>
      </c>
      <c r="N54" s="470">
        <v>11249790.225061985</v>
      </c>
      <c r="O54" s="471">
        <f>+N54-M54</f>
        <v>3016507.295061985</v>
      </c>
    </row>
    <row r="55" spans="1:15" s="469" customFormat="1" ht="24">
      <c r="A55" s="469">
        <v>110</v>
      </c>
      <c r="B55" s="472">
        <f t="shared" si="5"/>
        <v>18</v>
      </c>
      <c r="C55" s="473" t="s">
        <v>276</v>
      </c>
      <c r="D55" s="474">
        <v>4080516.18</v>
      </c>
      <c r="E55" s="474">
        <v>75941.2</v>
      </c>
      <c r="F55" s="474">
        <v>386796.29</v>
      </c>
      <c r="G55" s="474">
        <v>161479.43</v>
      </c>
      <c r="H55" s="474">
        <f t="shared" si="3"/>
        <v>4704733.1</v>
      </c>
      <c r="I55" s="475">
        <v>98942</v>
      </c>
      <c r="J55" s="476" t="s">
        <v>89</v>
      </c>
      <c r="K55" s="507">
        <f t="shared" si="4"/>
        <v>47.55041438418467</v>
      </c>
      <c r="M55" s="470"/>
      <c r="N55" s="470"/>
      <c r="O55" s="471"/>
    </row>
    <row r="56" spans="1:15" s="469" customFormat="1" ht="24">
      <c r="A56" s="469">
        <v>158</v>
      </c>
      <c r="B56" s="472">
        <f t="shared" si="5"/>
        <v>19</v>
      </c>
      <c r="C56" s="473" t="s">
        <v>333</v>
      </c>
      <c r="D56" s="474">
        <v>3060387.13</v>
      </c>
      <c r="E56" s="474">
        <v>56955.91</v>
      </c>
      <c r="F56" s="474">
        <v>290097.22</v>
      </c>
      <c r="G56" s="474">
        <v>121109.57</v>
      </c>
      <c r="H56" s="474">
        <f t="shared" si="3"/>
        <v>3528549.8299999996</v>
      </c>
      <c r="I56" s="475">
        <v>365</v>
      </c>
      <c r="J56" s="476"/>
      <c r="K56" s="507">
        <f t="shared" si="4"/>
        <v>9667.259808219176</v>
      </c>
      <c r="M56" s="470"/>
      <c r="N56" s="470"/>
      <c r="O56" s="471"/>
    </row>
    <row r="57" spans="1:15" s="482" customFormat="1" ht="24">
      <c r="A57" s="482">
        <v>114</v>
      </c>
      <c r="B57" s="477">
        <f>+B56+1</f>
        <v>20</v>
      </c>
      <c r="C57" s="478" t="s">
        <v>277</v>
      </c>
      <c r="D57" s="479">
        <v>11849338.7</v>
      </c>
      <c r="E57" s="479">
        <v>74842.27</v>
      </c>
      <c r="F57" s="479">
        <v>1168006.59</v>
      </c>
      <c r="G57" s="479">
        <v>1292151.9</v>
      </c>
      <c r="H57" s="479">
        <f t="shared" si="3"/>
        <v>14384339.459999999</v>
      </c>
      <c r="I57" s="480">
        <v>1</v>
      </c>
      <c r="J57" s="481" t="s">
        <v>99</v>
      </c>
      <c r="K57" s="506">
        <f t="shared" si="4"/>
        <v>14384339.459999999</v>
      </c>
      <c r="M57" s="483"/>
      <c r="N57" s="483">
        <v>13086567.171597704</v>
      </c>
      <c r="O57" s="484">
        <f>+H57-N57</f>
        <v>1297772.2884022947</v>
      </c>
    </row>
    <row r="58" spans="1:15" s="485" customFormat="1" ht="48">
      <c r="A58" s="485">
        <v>111</v>
      </c>
      <c r="B58" s="512">
        <f t="shared" si="5"/>
        <v>21</v>
      </c>
      <c r="C58" s="513" t="s">
        <v>278</v>
      </c>
      <c r="D58" s="514">
        <v>6112204.4</v>
      </c>
      <c r="E58" s="514">
        <v>86345.77</v>
      </c>
      <c r="F58" s="514">
        <v>586221.26</v>
      </c>
      <c r="G58" s="514">
        <v>108307.18</v>
      </c>
      <c r="H58" s="514">
        <f t="shared" si="3"/>
        <v>6893078.609999999</v>
      </c>
      <c r="I58" s="515">
        <v>10165</v>
      </c>
      <c r="J58" s="516" t="s">
        <v>100</v>
      </c>
      <c r="K58" s="505">
        <f t="shared" si="4"/>
        <v>678.1188991637973</v>
      </c>
      <c r="M58" s="486"/>
      <c r="N58" s="486">
        <v>7392487.829497125</v>
      </c>
      <c r="O58" s="487">
        <f>+H58-N58</f>
        <v>-499409.2194971256</v>
      </c>
    </row>
    <row r="59" spans="1:15" s="493" customFormat="1" ht="24">
      <c r="A59" s="493">
        <v>112</v>
      </c>
      <c r="B59" s="488">
        <f t="shared" si="5"/>
        <v>22</v>
      </c>
      <c r="C59" s="489" t="s">
        <v>279</v>
      </c>
      <c r="D59" s="490">
        <v>5292776</v>
      </c>
      <c r="E59" s="490">
        <v>51811.26</v>
      </c>
      <c r="F59" s="490">
        <v>197588.81</v>
      </c>
      <c r="G59" s="490">
        <v>128025.82</v>
      </c>
      <c r="H59" s="490">
        <f t="shared" si="3"/>
        <v>5670201.89</v>
      </c>
      <c r="I59" s="491">
        <v>94</v>
      </c>
      <c r="J59" s="492" t="s">
        <v>4</v>
      </c>
      <c r="K59" s="511">
        <f>H59/I59</f>
        <v>60321.296702127656</v>
      </c>
      <c r="M59" s="494"/>
      <c r="N59" s="494">
        <v>5466738.063698271</v>
      </c>
      <c r="O59" s="495">
        <f>+H59-N59</f>
        <v>203463.82630172838</v>
      </c>
    </row>
    <row r="60" spans="1:15" s="499" customFormat="1" ht="48">
      <c r="A60" s="499">
        <v>113</v>
      </c>
      <c r="B60" s="496">
        <f t="shared" si="5"/>
        <v>23</v>
      </c>
      <c r="C60" s="357" t="s">
        <v>280</v>
      </c>
      <c r="D60" s="497">
        <v>3581802.58</v>
      </c>
      <c r="E60" s="497">
        <v>34537.51</v>
      </c>
      <c r="F60" s="497">
        <v>319330.93</v>
      </c>
      <c r="G60" s="497">
        <v>43167.67</v>
      </c>
      <c r="H60" s="497">
        <f t="shared" si="3"/>
        <v>3978838.69</v>
      </c>
      <c r="I60" s="497">
        <f>690+1200+80+1000</f>
        <v>2970</v>
      </c>
      <c r="J60" s="498" t="s">
        <v>101</v>
      </c>
      <c r="K60" s="353">
        <f>H60/I60</f>
        <v>1339.6763265993266</v>
      </c>
      <c r="M60" s="500"/>
      <c r="N60" s="500">
        <v>3725756.3857988496</v>
      </c>
      <c r="O60" s="356">
        <f>+H60-N60</f>
        <v>253082.3042011503</v>
      </c>
    </row>
    <row r="61" spans="2:11" ht="24.75" thickBot="1">
      <c r="B61" s="217"/>
      <c r="C61" s="216" t="s">
        <v>27</v>
      </c>
      <c r="D61" s="232">
        <f>SUM(D5:D60)</f>
        <v>729578019.5676011</v>
      </c>
      <c r="E61" s="232">
        <f>SUM(E5:E60)</f>
        <v>6699652.055687998</v>
      </c>
      <c r="F61" s="232">
        <f>SUM(F5:F60)</f>
        <v>71232699.16038802</v>
      </c>
      <c r="G61" s="232">
        <f>SUM(G5:G60)</f>
        <v>29570384.174604</v>
      </c>
      <c r="H61" s="232">
        <f>SUM(H5:H60)</f>
        <v>837080754.958281</v>
      </c>
      <c r="I61" s="240"/>
      <c r="J61" s="232"/>
      <c r="K61" s="233"/>
    </row>
    <row r="62" ht="24.75" thickTop="1"/>
    <row r="63" spans="4:8" ht="24">
      <c r="D63" s="235">
        <v>729578019.5700002</v>
      </c>
      <c r="E63" s="235">
        <v>6699652.060000001</v>
      </c>
      <c r="F63" s="235">
        <v>71232699.16000001</v>
      </c>
      <c r="G63" s="235">
        <v>29570384.169999983</v>
      </c>
      <c r="H63" s="235">
        <v>837080754.9599999</v>
      </c>
    </row>
    <row r="64" spans="4:8" ht="24">
      <c r="D64" s="234">
        <f>+D61-D63</f>
        <v>-0.0023990869522094727</v>
      </c>
      <c r="E64" s="234">
        <f>+E61-E63</f>
        <v>-0.004312003031373024</v>
      </c>
      <c r="F64" s="234">
        <f>+F61-F63</f>
        <v>0.0003880113363265991</v>
      </c>
      <c r="G64" s="234">
        <f>+G61-G63</f>
        <v>0.004604015499353409</v>
      </c>
      <c r="H64" s="234">
        <f>+H61-H63</f>
        <v>-0.0017188787460327148</v>
      </c>
    </row>
  </sheetData>
  <sheetProtection/>
  <printOptions horizontalCentered="1"/>
  <pageMargins left="0.669291338582677" right="0.47244094488189" top="0.590551181102362" bottom="0.590551181102362" header="0.511811023622047" footer="0.511811023622047"/>
  <pageSetup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31" zoomScalePageLayoutView="0" workbookViewId="0" topLeftCell="A1">
      <pane xSplit="2" ySplit="3" topLeftCell="C40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C49" sqref="C49"/>
    </sheetView>
  </sheetViews>
  <sheetFormatPr defaultColWidth="9.140625" defaultRowHeight="12.75"/>
  <cols>
    <col min="1" max="1" width="3.28125" style="26" bestFit="1" customWidth="1"/>
    <col min="2" max="2" width="62.28125" style="26" customWidth="1"/>
    <col min="3" max="3" width="20.140625" style="234" customWidth="1"/>
    <col min="4" max="4" width="19.140625" style="503" customWidth="1"/>
    <col min="5" max="5" width="18.00390625" style="234" customWidth="1"/>
    <col min="6" max="6" width="17.8515625" style="234" customWidth="1"/>
    <col min="7" max="7" width="23.421875" style="234" customWidth="1"/>
    <col min="8" max="8" width="12.7109375" style="241" bestFit="1" customWidth="1"/>
    <col min="9" max="9" width="12.7109375" style="234" customWidth="1"/>
    <col min="10" max="10" width="28.00390625" style="235" customWidth="1"/>
    <col min="11" max="16384" width="9.140625" style="26" customWidth="1"/>
  </cols>
  <sheetData>
    <row r="1" spans="2:10" s="150" customFormat="1" ht="24">
      <c r="B1" s="149" t="s">
        <v>118</v>
      </c>
      <c r="C1" s="222"/>
      <c r="D1" s="501"/>
      <c r="E1" s="222"/>
      <c r="F1" s="222"/>
      <c r="G1" s="222"/>
      <c r="H1" s="236"/>
      <c r="I1" s="222"/>
      <c r="J1" s="223"/>
    </row>
    <row r="2" spans="3:10" s="150" customFormat="1" ht="24">
      <c r="C2" s="222"/>
      <c r="D2" s="501"/>
      <c r="E2" s="222"/>
      <c r="F2" s="222"/>
      <c r="G2" s="222"/>
      <c r="H2" s="236"/>
      <c r="I2" s="224"/>
      <c r="J2" s="225" t="s">
        <v>17</v>
      </c>
    </row>
    <row r="3" spans="1:10" s="151" customFormat="1" ht="24">
      <c r="A3" s="209"/>
      <c r="B3" s="210" t="s">
        <v>14</v>
      </c>
      <c r="C3" s="226" t="s">
        <v>0</v>
      </c>
      <c r="D3" s="226" t="s">
        <v>1</v>
      </c>
      <c r="E3" s="226" t="s">
        <v>2</v>
      </c>
      <c r="F3" s="226" t="s">
        <v>3</v>
      </c>
      <c r="G3" s="226" t="s">
        <v>11</v>
      </c>
      <c r="H3" s="237" t="s">
        <v>9</v>
      </c>
      <c r="I3" s="226" t="s">
        <v>10</v>
      </c>
      <c r="J3" s="227" t="s">
        <v>12</v>
      </c>
    </row>
    <row r="4" spans="1:10" s="143" customFormat="1" ht="24">
      <c r="A4" s="211"/>
      <c r="B4" s="212" t="s">
        <v>15</v>
      </c>
      <c r="C4" s="228"/>
      <c r="D4" s="228"/>
      <c r="E4" s="228"/>
      <c r="F4" s="228"/>
      <c r="G4" s="228"/>
      <c r="H4" s="238"/>
      <c r="I4" s="228"/>
      <c r="J4" s="229"/>
    </row>
    <row r="5" spans="1:10" s="143" customFormat="1" ht="24">
      <c r="A5" s="211">
        <v>1</v>
      </c>
      <c r="B5" s="213" t="s">
        <v>247</v>
      </c>
      <c r="C5" s="550">
        <v>4565909.58</v>
      </c>
      <c r="D5" s="550">
        <v>10830.65</v>
      </c>
      <c r="E5" s="550">
        <v>196372.64</v>
      </c>
      <c r="F5" s="550">
        <v>18583.93</v>
      </c>
      <c r="G5" s="550">
        <f aca="true" t="shared" si="0" ref="G5:G10">SUM(C5:F5)</f>
        <v>4791696.8</v>
      </c>
      <c r="H5" s="238">
        <v>32</v>
      </c>
      <c r="I5" s="228" t="s">
        <v>4</v>
      </c>
      <c r="J5" s="231">
        <f aca="true" t="shared" si="1" ref="J5:J10">G5/H5</f>
        <v>149740.525</v>
      </c>
    </row>
    <row r="6" spans="1:10" s="143" customFormat="1" ht="24">
      <c r="A6" s="211">
        <f>+A5+1</f>
        <v>2</v>
      </c>
      <c r="B6" s="213" t="s">
        <v>248</v>
      </c>
      <c r="C6" s="550">
        <v>4565909.58</v>
      </c>
      <c r="D6" s="550">
        <v>10830.65</v>
      </c>
      <c r="E6" s="550">
        <v>196372.64</v>
      </c>
      <c r="F6" s="550">
        <v>18583.93</v>
      </c>
      <c r="G6" s="550">
        <f t="shared" si="0"/>
        <v>4791696.8</v>
      </c>
      <c r="H6" s="238">
        <v>33</v>
      </c>
      <c r="I6" s="228" t="s">
        <v>4</v>
      </c>
      <c r="J6" s="231">
        <f t="shared" si="1"/>
        <v>145202.93333333332</v>
      </c>
    </row>
    <row r="7" spans="1:10" s="143" customFormat="1" ht="24">
      <c r="A7" s="211">
        <f aca="true" t="shared" si="2" ref="A7:A28">+A6+1</f>
        <v>3</v>
      </c>
      <c r="B7" s="219" t="s">
        <v>249</v>
      </c>
      <c r="C7" s="550">
        <v>2344656.27</v>
      </c>
      <c r="D7" s="550">
        <v>5561.68</v>
      </c>
      <c r="E7" s="550">
        <v>100840.01</v>
      </c>
      <c r="F7" s="550">
        <v>9543.1</v>
      </c>
      <c r="G7" s="550">
        <f t="shared" si="0"/>
        <v>2460601.06</v>
      </c>
      <c r="H7" s="238">
        <v>17</v>
      </c>
      <c r="I7" s="228" t="s">
        <v>4</v>
      </c>
      <c r="J7" s="231">
        <f t="shared" si="1"/>
        <v>144741.23882352942</v>
      </c>
    </row>
    <row r="8" spans="1:10" s="143" customFormat="1" ht="24">
      <c r="A8" s="211">
        <f t="shared" si="2"/>
        <v>4</v>
      </c>
      <c r="B8" s="219" t="s">
        <v>250</v>
      </c>
      <c r="C8" s="550">
        <v>33471268.279999997</v>
      </c>
      <c r="D8" s="550">
        <v>85558.9</v>
      </c>
      <c r="E8" s="550">
        <v>1809003.01</v>
      </c>
      <c r="F8" s="550">
        <v>2378167.1599999997</v>
      </c>
      <c r="G8" s="550">
        <f t="shared" si="0"/>
        <v>37743997.349999994</v>
      </c>
      <c r="H8" s="238">
        <f>4+13+1</f>
        <v>18</v>
      </c>
      <c r="I8" s="228" t="s">
        <v>4</v>
      </c>
      <c r="J8" s="231">
        <f t="shared" si="1"/>
        <v>2096888.7416666662</v>
      </c>
    </row>
    <row r="9" spans="1:10" s="143" customFormat="1" ht="24">
      <c r="A9" s="211">
        <f>+A8+1</f>
        <v>5</v>
      </c>
      <c r="B9" s="213" t="s">
        <v>251</v>
      </c>
      <c r="C9" s="550">
        <v>267638932.5</v>
      </c>
      <c r="D9" s="550">
        <v>3237329.21</v>
      </c>
      <c r="E9" s="550">
        <v>1385679.91</v>
      </c>
      <c r="F9" s="550">
        <v>4026118.55</v>
      </c>
      <c r="G9" s="550">
        <f t="shared" si="0"/>
        <v>276288060.17</v>
      </c>
      <c r="H9" s="238">
        <v>121</v>
      </c>
      <c r="I9" s="228" t="s">
        <v>4</v>
      </c>
      <c r="J9" s="231">
        <f t="shared" si="1"/>
        <v>2283372.398099174</v>
      </c>
    </row>
    <row r="10" spans="1:10" s="143" customFormat="1" ht="24">
      <c r="A10" s="211">
        <f t="shared" si="2"/>
        <v>6</v>
      </c>
      <c r="B10" s="555" t="s">
        <v>379</v>
      </c>
      <c r="C10" s="550">
        <v>41407416.83</v>
      </c>
      <c r="D10" s="550">
        <v>93840.19</v>
      </c>
      <c r="E10" s="550">
        <v>43961782.61</v>
      </c>
      <c r="F10" s="550">
        <v>182966.73</v>
      </c>
      <c r="G10" s="550">
        <f t="shared" si="0"/>
        <v>85646006.36</v>
      </c>
      <c r="H10" s="238">
        <v>13</v>
      </c>
      <c r="I10" s="228" t="s">
        <v>4</v>
      </c>
      <c r="J10" s="231">
        <f t="shared" si="1"/>
        <v>6588154.335384616</v>
      </c>
    </row>
    <row r="11" spans="1:10" s="143" customFormat="1" ht="24">
      <c r="A11" s="211">
        <f>+A10+1</f>
        <v>7</v>
      </c>
      <c r="B11" s="213" t="s">
        <v>290</v>
      </c>
      <c r="C11" s="550">
        <v>23980374.55</v>
      </c>
      <c r="D11" s="550">
        <v>53268.75</v>
      </c>
      <c r="E11" s="550">
        <v>35830612.73</v>
      </c>
      <c r="F11" s="550">
        <v>109510.41</v>
      </c>
      <c r="G11" s="550">
        <f aca="true" t="shared" si="3" ref="G11:G19">SUM(C11:F11)</f>
        <v>59973766.44</v>
      </c>
      <c r="H11" s="238">
        <v>7435</v>
      </c>
      <c r="I11" s="228" t="s">
        <v>4</v>
      </c>
      <c r="J11" s="231">
        <f aca="true" t="shared" si="4" ref="J11:J29">G11/H11</f>
        <v>8066.411088096839</v>
      </c>
    </row>
    <row r="12" spans="1:10" s="143" customFormat="1" ht="24">
      <c r="A12" s="211">
        <f t="shared" si="2"/>
        <v>8</v>
      </c>
      <c r="B12" s="219" t="s">
        <v>368</v>
      </c>
      <c r="C12" s="550">
        <v>215096.69</v>
      </c>
      <c r="D12" s="550">
        <v>477.8</v>
      </c>
      <c r="E12" s="550">
        <v>321389.74</v>
      </c>
      <c r="F12" s="550">
        <v>982.28</v>
      </c>
      <c r="G12" s="550">
        <f t="shared" si="3"/>
        <v>537946.51</v>
      </c>
      <c r="H12" s="238">
        <v>713</v>
      </c>
      <c r="I12" s="228" t="s">
        <v>5</v>
      </c>
      <c r="J12" s="231">
        <f t="shared" si="4"/>
        <v>754.4831837307153</v>
      </c>
    </row>
    <row r="13" spans="1:10" s="143" customFormat="1" ht="24">
      <c r="A13" s="211">
        <f t="shared" si="2"/>
        <v>9</v>
      </c>
      <c r="B13" s="219" t="s">
        <v>253</v>
      </c>
      <c r="C13" s="550">
        <v>1845762.16</v>
      </c>
      <c r="D13" s="550">
        <v>4100.08</v>
      </c>
      <c r="E13" s="550">
        <v>2757871.4</v>
      </c>
      <c r="F13" s="550">
        <v>8428.98</v>
      </c>
      <c r="G13" s="550">
        <f t="shared" si="3"/>
        <v>4616162.62</v>
      </c>
      <c r="H13" s="238">
        <v>62</v>
      </c>
      <c r="I13" s="228" t="s">
        <v>4</v>
      </c>
      <c r="J13" s="231">
        <f t="shared" si="4"/>
        <v>74454.23580645162</v>
      </c>
    </row>
    <row r="14" spans="1:10" s="143" customFormat="1" ht="24">
      <c r="A14" s="211">
        <f t="shared" si="2"/>
        <v>10</v>
      </c>
      <c r="B14" s="219" t="s">
        <v>254</v>
      </c>
      <c r="C14" s="550">
        <v>1366154.67</v>
      </c>
      <c r="D14" s="550">
        <v>3034.7</v>
      </c>
      <c r="E14" s="550">
        <v>2041259.15</v>
      </c>
      <c r="F14" s="550">
        <v>6238.78</v>
      </c>
      <c r="G14" s="550">
        <f t="shared" si="3"/>
        <v>3416687.2999999993</v>
      </c>
      <c r="H14" s="238">
        <v>64</v>
      </c>
      <c r="I14" s="228" t="s">
        <v>4</v>
      </c>
      <c r="J14" s="231">
        <f t="shared" si="4"/>
        <v>53385.73906249999</v>
      </c>
    </row>
    <row r="15" spans="1:10" s="143" customFormat="1" ht="24">
      <c r="A15" s="211">
        <f>+A14+1</f>
        <v>11</v>
      </c>
      <c r="B15" s="219" t="s">
        <v>255</v>
      </c>
      <c r="C15" s="550">
        <v>209283.27</v>
      </c>
      <c r="D15" s="550">
        <v>464.89</v>
      </c>
      <c r="E15" s="550">
        <v>312703.53</v>
      </c>
      <c r="F15" s="550">
        <v>955.73</v>
      </c>
      <c r="G15" s="550">
        <f t="shared" si="3"/>
        <v>523407.42000000004</v>
      </c>
      <c r="H15" s="238">
        <v>60</v>
      </c>
      <c r="I15" s="228" t="s">
        <v>4</v>
      </c>
      <c r="J15" s="231">
        <f t="shared" si="4"/>
        <v>8723.457</v>
      </c>
    </row>
    <row r="16" spans="1:10" s="143" customFormat="1" ht="24">
      <c r="A16" s="211">
        <f t="shared" si="2"/>
        <v>12</v>
      </c>
      <c r="B16" s="219" t="s">
        <v>256</v>
      </c>
      <c r="C16" s="550">
        <v>305204.77</v>
      </c>
      <c r="D16" s="550">
        <v>677.97</v>
      </c>
      <c r="E16" s="550">
        <v>456025.98</v>
      </c>
      <c r="F16" s="550">
        <v>1393.77</v>
      </c>
      <c r="G16" s="550">
        <f t="shared" si="3"/>
        <v>763302.49</v>
      </c>
      <c r="H16" s="238">
        <v>600</v>
      </c>
      <c r="I16" s="228" t="s">
        <v>4</v>
      </c>
      <c r="J16" s="231">
        <f t="shared" si="4"/>
        <v>1272.1708166666667</v>
      </c>
    </row>
    <row r="17" spans="1:10" s="143" customFormat="1" ht="24">
      <c r="A17" s="211">
        <f t="shared" si="2"/>
        <v>13</v>
      </c>
      <c r="B17" s="219" t="s">
        <v>257</v>
      </c>
      <c r="C17" s="550">
        <v>203469.84</v>
      </c>
      <c r="D17" s="550">
        <v>451.98</v>
      </c>
      <c r="E17" s="550">
        <v>304017.32</v>
      </c>
      <c r="F17" s="550">
        <v>929.18</v>
      </c>
      <c r="G17" s="550">
        <f t="shared" si="3"/>
        <v>508868.32</v>
      </c>
      <c r="H17" s="238">
        <v>6</v>
      </c>
      <c r="I17" s="228" t="s">
        <v>4</v>
      </c>
      <c r="J17" s="231">
        <f t="shared" si="4"/>
        <v>84811.38666666667</v>
      </c>
    </row>
    <row r="18" spans="1:10" s="143" customFormat="1" ht="24">
      <c r="A18" s="211">
        <f t="shared" si="2"/>
        <v>14</v>
      </c>
      <c r="B18" s="219" t="s">
        <v>258</v>
      </c>
      <c r="C18" s="550">
        <v>45161903.51</v>
      </c>
      <c r="D18" s="550">
        <v>139316.76</v>
      </c>
      <c r="E18" s="550">
        <v>863473.94</v>
      </c>
      <c r="F18" s="550">
        <v>3229289.02</v>
      </c>
      <c r="G18" s="550">
        <f t="shared" si="3"/>
        <v>49393983.23</v>
      </c>
      <c r="H18" s="238">
        <v>160</v>
      </c>
      <c r="I18" s="228" t="s">
        <v>4</v>
      </c>
      <c r="J18" s="231">
        <f t="shared" si="4"/>
        <v>308712.3951875</v>
      </c>
    </row>
    <row r="19" spans="1:10" s="143" customFormat="1" ht="24">
      <c r="A19" s="211">
        <f t="shared" si="2"/>
        <v>15</v>
      </c>
      <c r="B19" s="219" t="s">
        <v>380</v>
      </c>
      <c r="C19" s="550">
        <v>793532.39</v>
      </c>
      <c r="D19" s="550">
        <v>1762.71</v>
      </c>
      <c r="E19" s="550">
        <v>1185667.55</v>
      </c>
      <c r="F19" s="550">
        <v>3623.8</v>
      </c>
      <c r="G19" s="550">
        <f t="shared" si="3"/>
        <v>1984586.45</v>
      </c>
      <c r="H19" s="238">
        <v>3</v>
      </c>
      <c r="I19" s="228" t="s">
        <v>4</v>
      </c>
      <c r="J19" s="231">
        <f t="shared" si="4"/>
        <v>661528.8166666667</v>
      </c>
    </row>
    <row r="20" spans="1:10" s="143" customFormat="1" ht="24">
      <c r="A20" s="211">
        <f>+A19+1</f>
        <v>16</v>
      </c>
      <c r="B20" s="219" t="s">
        <v>259</v>
      </c>
      <c r="C20" s="550">
        <v>11512630.08</v>
      </c>
      <c r="D20" s="550">
        <v>61984.97</v>
      </c>
      <c r="E20" s="550">
        <v>724862.14</v>
      </c>
      <c r="F20" s="550">
        <v>88286.84</v>
      </c>
      <c r="G20" s="550">
        <f aca="true" t="shared" si="5" ref="G20:G28">SUM(C20:F20)</f>
        <v>12387764.030000001</v>
      </c>
      <c r="H20" s="238">
        <v>35</v>
      </c>
      <c r="I20" s="228" t="s">
        <v>4</v>
      </c>
      <c r="J20" s="231">
        <f t="shared" si="4"/>
        <v>353936.1151428572</v>
      </c>
    </row>
    <row r="21" spans="1:10" s="143" customFormat="1" ht="24">
      <c r="A21" s="211">
        <f t="shared" si="2"/>
        <v>17</v>
      </c>
      <c r="B21" s="219" t="s">
        <v>260</v>
      </c>
      <c r="C21" s="550">
        <v>21916883.95</v>
      </c>
      <c r="D21" s="550">
        <v>61984.97</v>
      </c>
      <c r="E21" s="550">
        <v>632948.28</v>
      </c>
      <c r="F21" s="550">
        <v>260280.97</v>
      </c>
      <c r="G21" s="550">
        <f t="shared" si="5"/>
        <v>22872098.169999998</v>
      </c>
      <c r="H21" s="238">
        <v>68</v>
      </c>
      <c r="I21" s="228" t="s">
        <v>4</v>
      </c>
      <c r="J21" s="231">
        <f t="shared" si="4"/>
        <v>336354.38485294115</v>
      </c>
    </row>
    <row r="22" spans="1:10" s="143" customFormat="1" ht="24">
      <c r="A22" s="211">
        <f t="shared" si="2"/>
        <v>18</v>
      </c>
      <c r="B22" s="219" t="s">
        <v>281</v>
      </c>
      <c r="C22" s="550">
        <v>4345392.37</v>
      </c>
      <c r="D22" s="550">
        <v>10653.85</v>
      </c>
      <c r="E22" s="550">
        <v>66149.82</v>
      </c>
      <c r="F22" s="550">
        <v>15372.78</v>
      </c>
      <c r="G22" s="550">
        <f t="shared" si="5"/>
        <v>4437568.82</v>
      </c>
      <c r="H22" s="238">
        <v>8</v>
      </c>
      <c r="I22" s="228" t="s">
        <v>4</v>
      </c>
      <c r="J22" s="231">
        <f t="shared" si="4"/>
        <v>554696.1025</v>
      </c>
    </row>
    <row r="23" spans="1:10" s="143" customFormat="1" ht="24">
      <c r="A23" s="211">
        <f t="shared" si="2"/>
        <v>19</v>
      </c>
      <c r="B23" s="219" t="s">
        <v>262</v>
      </c>
      <c r="C23" s="550">
        <v>1309411.57</v>
      </c>
      <c r="D23" s="550">
        <v>3210.36</v>
      </c>
      <c r="E23" s="550">
        <v>19933.15</v>
      </c>
      <c r="F23" s="550">
        <v>4632.33</v>
      </c>
      <c r="G23" s="550">
        <f t="shared" si="5"/>
        <v>1337187.4100000001</v>
      </c>
      <c r="H23" s="238">
        <v>8</v>
      </c>
      <c r="I23" s="228" t="s">
        <v>4</v>
      </c>
      <c r="J23" s="231">
        <f t="shared" si="4"/>
        <v>167148.42625000002</v>
      </c>
    </row>
    <row r="24" spans="1:10" s="143" customFormat="1" ht="24">
      <c r="A24" s="211">
        <f t="shared" si="2"/>
        <v>20</v>
      </c>
      <c r="B24" s="219" t="s">
        <v>263</v>
      </c>
      <c r="C24" s="550">
        <v>3699956.76</v>
      </c>
      <c r="D24" s="550">
        <v>9071.4</v>
      </c>
      <c r="E24" s="550">
        <v>56324.36</v>
      </c>
      <c r="F24" s="550">
        <v>13089.41</v>
      </c>
      <c r="G24" s="550">
        <f t="shared" si="5"/>
        <v>3778441.9299999997</v>
      </c>
      <c r="H24" s="238">
        <v>8</v>
      </c>
      <c r="I24" s="228" t="s">
        <v>4</v>
      </c>
      <c r="J24" s="231">
        <f t="shared" si="4"/>
        <v>472305.24124999996</v>
      </c>
    </row>
    <row r="25" spans="1:10" s="143" customFormat="1" ht="48">
      <c r="A25" s="211">
        <f t="shared" si="2"/>
        <v>21</v>
      </c>
      <c r="B25" s="220" t="s">
        <v>284</v>
      </c>
      <c r="C25" s="550">
        <v>11587713</v>
      </c>
      <c r="D25" s="550">
        <v>28410.28</v>
      </c>
      <c r="E25" s="550">
        <v>176399.51</v>
      </c>
      <c r="F25" s="550">
        <v>40994.08</v>
      </c>
      <c r="G25" s="550">
        <f t="shared" si="5"/>
        <v>11833516.87</v>
      </c>
      <c r="H25" s="238">
        <v>15</v>
      </c>
      <c r="I25" s="228" t="s">
        <v>4</v>
      </c>
      <c r="J25" s="231">
        <f t="shared" si="4"/>
        <v>788901.1246666666</v>
      </c>
    </row>
    <row r="26" spans="1:10" s="143" customFormat="1" ht="24">
      <c r="A26" s="211">
        <f t="shared" si="2"/>
        <v>22</v>
      </c>
      <c r="B26" s="220" t="s">
        <v>381</v>
      </c>
      <c r="C26" s="550">
        <v>1433400.1</v>
      </c>
      <c r="D26" s="550">
        <v>3514.35</v>
      </c>
      <c r="E26" s="550">
        <v>21820.62</v>
      </c>
      <c r="F26" s="550">
        <v>5070.97</v>
      </c>
      <c r="G26" s="550">
        <f t="shared" si="5"/>
        <v>1463806.0400000003</v>
      </c>
      <c r="H26" s="238">
        <v>1</v>
      </c>
      <c r="I26" s="228" t="s">
        <v>4</v>
      </c>
      <c r="J26" s="231">
        <f t="shared" si="4"/>
        <v>1463806.0400000003</v>
      </c>
    </row>
    <row r="27" spans="1:10" s="143" customFormat="1" ht="24">
      <c r="A27" s="211">
        <f t="shared" si="2"/>
        <v>23</v>
      </c>
      <c r="B27" s="219" t="s">
        <v>336</v>
      </c>
      <c r="C27" s="550">
        <v>799552.19</v>
      </c>
      <c r="D27" s="550">
        <v>1960.32</v>
      </c>
      <c r="E27" s="550">
        <v>12171.57</v>
      </c>
      <c r="F27" s="550">
        <v>2828.58</v>
      </c>
      <c r="G27" s="550">
        <f t="shared" si="5"/>
        <v>816512.6599999998</v>
      </c>
      <c r="H27" s="238">
        <v>1</v>
      </c>
      <c r="I27" s="228" t="s">
        <v>4</v>
      </c>
      <c r="J27" s="231">
        <f t="shared" si="4"/>
        <v>816512.6599999998</v>
      </c>
    </row>
    <row r="28" spans="1:10" s="143" customFormat="1" ht="24">
      <c r="A28" s="211">
        <f t="shared" si="2"/>
        <v>24</v>
      </c>
      <c r="B28" s="213" t="s">
        <v>337</v>
      </c>
      <c r="C28" s="550">
        <v>24447111.38</v>
      </c>
      <c r="D28" s="550">
        <v>38742.61</v>
      </c>
      <c r="E28" s="550">
        <v>1367879.99</v>
      </c>
      <c r="F28" s="550">
        <v>2305000.01</v>
      </c>
      <c r="G28" s="550">
        <f t="shared" si="5"/>
        <v>28158733.989999995</v>
      </c>
      <c r="H28" s="238">
        <v>2365</v>
      </c>
      <c r="I28" s="228" t="s">
        <v>6</v>
      </c>
      <c r="J28" s="231">
        <f t="shared" si="4"/>
        <v>11906.441433403803</v>
      </c>
    </row>
    <row r="29" spans="1:10" s="143" customFormat="1" ht="24">
      <c r="A29" s="211">
        <f>+A28+1</f>
        <v>25</v>
      </c>
      <c r="B29" s="213" t="s">
        <v>265</v>
      </c>
      <c r="C29" s="550">
        <v>42405738.89</v>
      </c>
      <c r="D29" s="550">
        <v>495883.78</v>
      </c>
      <c r="E29" s="550">
        <v>5418938.04</v>
      </c>
      <c r="F29" s="550">
        <v>741926.2</v>
      </c>
      <c r="G29" s="550">
        <f aca="true" t="shared" si="6" ref="G29:G35">SUM(C29:F29)</f>
        <v>49062486.910000004</v>
      </c>
      <c r="H29" s="238">
        <v>1495</v>
      </c>
      <c r="I29" s="228" t="s">
        <v>98</v>
      </c>
      <c r="J29" s="231">
        <f t="shared" si="4"/>
        <v>32817.71699665552</v>
      </c>
    </row>
    <row r="30" spans="1:10" s="143" customFormat="1" ht="24">
      <c r="A30" s="214"/>
      <c r="B30" s="215" t="s">
        <v>16</v>
      </c>
      <c r="C30" s="414"/>
      <c r="D30" s="502"/>
      <c r="E30" s="414"/>
      <c r="F30" s="414"/>
      <c r="G30" s="414"/>
      <c r="H30" s="239"/>
      <c r="I30" s="230"/>
      <c r="J30" s="231"/>
    </row>
    <row r="31" spans="1:10" ht="24">
      <c r="A31" s="214">
        <v>1</v>
      </c>
      <c r="B31" s="213" t="s">
        <v>266</v>
      </c>
      <c r="C31" s="414">
        <v>3648352.26</v>
      </c>
      <c r="D31" s="414">
        <v>49071.44</v>
      </c>
      <c r="E31" s="414">
        <v>342542.75</v>
      </c>
      <c r="F31" s="414">
        <v>69893.75</v>
      </c>
      <c r="G31" s="414">
        <f t="shared" si="6"/>
        <v>4109860.1999999997</v>
      </c>
      <c r="H31" s="239">
        <v>16990</v>
      </c>
      <c r="I31" s="230" t="s">
        <v>7</v>
      </c>
      <c r="J31" s="231">
        <f aca="true" t="shared" si="7" ref="J31:J49">G31/H31</f>
        <v>241.89877575044142</v>
      </c>
    </row>
    <row r="32" spans="1:10" ht="24">
      <c r="A32" s="214">
        <f>+A31+1</f>
        <v>2</v>
      </c>
      <c r="B32" s="213" t="s">
        <v>267</v>
      </c>
      <c r="C32" s="414">
        <v>3648352.25</v>
      </c>
      <c r="D32" s="414">
        <v>49071.43</v>
      </c>
      <c r="E32" s="414">
        <v>342542.75</v>
      </c>
      <c r="F32" s="414">
        <v>69893.75</v>
      </c>
      <c r="G32" s="414">
        <f t="shared" si="6"/>
        <v>4109860.18</v>
      </c>
      <c r="H32" s="239">
        <v>1584</v>
      </c>
      <c r="I32" s="230" t="s">
        <v>4</v>
      </c>
      <c r="J32" s="231">
        <f t="shared" si="7"/>
        <v>2594.6086994949496</v>
      </c>
    </row>
    <row r="33" spans="1:10" ht="24">
      <c r="A33" s="214">
        <f aca="true" t="shared" si="8" ref="A33:A51">+A32+1</f>
        <v>3</v>
      </c>
      <c r="B33" s="213" t="s">
        <v>268</v>
      </c>
      <c r="C33" s="414">
        <v>1609968.38</v>
      </c>
      <c r="D33" s="414">
        <v>46328.74</v>
      </c>
      <c r="E33" s="414">
        <v>90792.85</v>
      </c>
      <c r="F33" s="414">
        <v>22738.28</v>
      </c>
      <c r="G33" s="414">
        <f t="shared" si="6"/>
        <v>1769828.25</v>
      </c>
      <c r="H33" s="239">
        <v>450</v>
      </c>
      <c r="I33" s="230" t="s">
        <v>6</v>
      </c>
      <c r="J33" s="231">
        <f>G33/H33</f>
        <v>3932.951666666667</v>
      </c>
    </row>
    <row r="34" spans="1:10" ht="24">
      <c r="A34" s="214">
        <f t="shared" si="8"/>
        <v>4</v>
      </c>
      <c r="B34" s="213" t="s">
        <v>269</v>
      </c>
      <c r="C34" s="414">
        <v>3488264.82</v>
      </c>
      <c r="D34" s="414">
        <v>100378.94</v>
      </c>
      <c r="E34" s="414">
        <v>196717.83</v>
      </c>
      <c r="F34" s="414">
        <v>49266.27</v>
      </c>
      <c r="G34" s="414">
        <f t="shared" si="6"/>
        <v>3834627.86</v>
      </c>
      <c r="H34" s="239">
        <v>10980</v>
      </c>
      <c r="I34" s="230" t="s">
        <v>42</v>
      </c>
      <c r="J34" s="231">
        <f t="shared" si="7"/>
        <v>349.23751001821495</v>
      </c>
    </row>
    <row r="35" spans="1:10" ht="24">
      <c r="A35" s="214">
        <f t="shared" si="8"/>
        <v>5</v>
      </c>
      <c r="B35" s="213" t="s">
        <v>332</v>
      </c>
      <c r="C35" s="414">
        <v>268328.06</v>
      </c>
      <c r="D35" s="414">
        <v>7721.46</v>
      </c>
      <c r="E35" s="414">
        <v>15132.14</v>
      </c>
      <c r="F35" s="414">
        <v>3789.7</v>
      </c>
      <c r="G35" s="414">
        <f t="shared" si="6"/>
        <v>294971.36000000004</v>
      </c>
      <c r="H35" s="239">
        <v>1</v>
      </c>
      <c r="I35" s="230" t="s">
        <v>327</v>
      </c>
      <c r="J35" s="231">
        <f t="shared" si="7"/>
        <v>294971.36000000004</v>
      </c>
    </row>
    <row r="36" spans="1:10" ht="24">
      <c r="A36" s="214">
        <f>+A35+1</f>
        <v>6</v>
      </c>
      <c r="B36" s="213" t="s">
        <v>270</v>
      </c>
      <c r="C36" s="414">
        <v>2167743.95</v>
      </c>
      <c r="D36" s="414">
        <v>20662.66</v>
      </c>
      <c r="E36" s="414">
        <v>209740.59</v>
      </c>
      <c r="F36" s="414">
        <v>29428.95</v>
      </c>
      <c r="G36" s="414">
        <f>SUM(C36:F36)</f>
        <v>2427576.1500000004</v>
      </c>
      <c r="H36" s="239">
        <v>766</v>
      </c>
      <c r="I36" s="230" t="s">
        <v>8</v>
      </c>
      <c r="J36" s="231">
        <f t="shared" si="7"/>
        <v>3169.1594647519587</v>
      </c>
    </row>
    <row r="37" spans="1:10" ht="48">
      <c r="A37" s="214">
        <f t="shared" si="8"/>
        <v>7</v>
      </c>
      <c r="B37" s="220" t="s">
        <v>271</v>
      </c>
      <c r="C37" s="556">
        <v>11106894.99</v>
      </c>
      <c r="D37" s="556">
        <v>38278.84</v>
      </c>
      <c r="E37" s="556">
        <v>359474.35</v>
      </c>
      <c r="F37" s="556">
        <v>5111327.11</v>
      </c>
      <c r="G37" s="556">
        <f>SUM(C37:F37)</f>
        <v>16615975.29</v>
      </c>
      <c r="H37" s="332">
        <v>967</v>
      </c>
      <c r="I37" s="282" t="s">
        <v>91</v>
      </c>
      <c r="J37" s="231">
        <f t="shared" si="7"/>
        <v>17183.014777662873</v>
      </c>
    </row>
    <row r="38" spans="1:10" ht="24">
      <c r="A38" s="214">
        <f t="shared" si="8"/>
        <v>8</v>
      </c>
      <c r="B38" s="213" t="s">
        <v>272</v>
      </c>
      <c r="C38" s="556">
        <v>15378777.67</v>
      </c>
      <c r="D38" s="556">
        <v>53001.47</v>
      </c>
      <c r="E38" s="556">
        <v>497733.71</v>
      </c>
      <c r="F38" s="556">
        <v>7077222.15</v>
      </c>
      <c r="G38" s="556">
        <f>SUM(C38:F38)</f>
        <v>23006735</v>
      </c>
      <c r="H38" s="283">
        <v>1</v>
      </c>
      <c r="I38" s="284" t="s">
        <v>90</v>
      </c>
      <c r="J38" s="231">
        <f t="shared" si="7"/>
        <v>23006735</v>
      </c>
    </row>
    <row r="39" spans="1:10" ht="24">
      <c r="A39" s="214">
        <f t="shared" si="8"/>
        <v>9</v>
      </c>
      <c r="B39" s="213" t="s">
        <v>321</v>
      </c>
      <c r="C39" s="556">
        <v>1993545.25</v>
      </c>
      <c r="D39" s="556">
        <v>6870.56</v>
      </c>
      <c r="E39" s="556">
        <v>64521.04</v>
      </c>
      <c r="F39" s="556">
        <v>917417.68</v>
      </c>
      <c r="G39" s="556">
        <f>SUM(C39:F39)</f>
        <v>2982354.5300000003</v>
      </c>
      <c r="H39" s="283">
        <v>1</v>
      </c>
      <c r="I39" s="284" t="s">
        <v>4</v>
      </c>
      <c r="J39" s="231">
        <f t="shared" si="7"/>
        <v>2982354.5300000003</v>
      </c>
    </row>
    <row r="40" spans="1:10" ht="24">
      <c r="A40" s="214">
        <f>+A39+1</f>
        <v>10</v>
      </c>
      <c r="B40" s="213" t="s">
        <v>273</v>
      </c>
      <c r="C40" s="556">
        <v>8160336.15</v>
      </c>
      <c r="D40" s="556">
        <v>44767.26</v>
      </c>
      <c r="E40" s="556">
        <v>403971.43</v>
      </c>
      <c r="F40" s="556">
        <v>69651.28</v>
      </c>
      <c r="G40" s="556">
        <f>SUM(C40:F40)</f>
        <v>8678726.12</v>
      </c>
      <c r="H40" s="283">
        <v>1</v>
      </c>
      <c r="I40" s="284" t="s">
        <v>87</v>
      </c>
      <c r="J40" s="231">
        <f>G40/H40</f>
        <v>8678726.12</v>
      </c>
    </row>
    <row r="41" spans="1:10" ht="72">
      <c r="A41" s="214">
        <f>+A40+1</f>
        <v>11</v>
      </c>
      <c r="B41" s="219" t="s">
        <v>334</v>
      </c>
      <c r="C41" s="556">
        <v>8160336.15</v>
      </c>
      <c r="D41" s="556">
        <v>44767.26</v>
      </c>
      <c r="E41" s="556">
        <v>403971.43</v>
      </c>
      <c r="F41" s="556">
        <v>69651.29</v>
      </c>
      <c r="G41" s="556">
        <f aca="true" t="shared" si="9" ref="G41:G51">SUM(C41:F41)</f>
        <v>8678726.129999999</v>
      </c>
      <c r="H41" s="325">
        <v>785729400</v>
      </c>
      <c r="I41" s="287" t="s">
        <v>326</v>
      </c>
      <c r="J41" s="231">
        <f>G41/H41</f>
        <v>0.01104543896410138</v>
      </c>
    </row>
    <row r="42" spans="1:10" ht="24">
      <c r="A42" s="214">
        <f>+A41+1</f>
        <v>12</v>
      </c>
      <c r="B42" s="213" t="s">
        <v>274</v>
      </c>
      <c r="C42" s="556">
        <v>1685072.11</v>
      </c>
      <c r="D42" s="556">
        <v>16529.73</v>
      </c>
      <c r="E42" s="556">
        <v>117470.93</v>
      </c>
      <c r="F42" s="556">
        <v>24018.36</v>
      </c>
      <c r="G42" s="556">
        <f t="shared" si="9"/>
        <v>1843091.1300000001</v>
      </c>
      <c r="H42" s="283">
        <v>1</v>
      </c>
      <c r="I42" s="284" t="s">
        <v>87</v>
      </c>
      <c r="J42" s="231">
        <f t="shared" si="7"/>
        <v>1843091.1300000001</v>
      </c>
    </row>
    <row r="43" spans="1:10" ht="24">
      <c r="A43" s="214">
        <f t="shared" si="8"/>
        <v>13</v>
      </c>
      <c r="B43" s="213" t="s">
        <v>286</v>
      </c>
      <c r="C43" s="556">
        <v>2106340.14</v>
      </c>
      <c r="D43" s="556">
        <v>20662.16</v>
      </c>
      <c r="E43" s="556">
        <v>146838.66</v>
      </c>
      <c r="F43" s="556">
        <v>30022.96</v>
      </c>
      <c r="G43" s="556">
        <f t="shared" si="9"/>
        <v>2303863.9200000004</v>
      </c>
      <c r="H43" s="283">
        <v>1</v>
      </c>
      <c r="I43" s="284" t="s">
        <v>87</v>
      </c>
      <c r="J43" s="231">
        <f>G43/H43</f>
        <v>2303863.9200000004</v>
      </c>
    </row>
    <row r="44" spans="1:10" ht="24">
      <c r="A44" s="214">
        <f t="shared" si="8"/>
        <v>14</v>
      </c>
      <c r="B44" s="213" t="s">
        <v>287</v>
      </c>
      <c r="C44" s="556">
        <v>421268.03</v>
      </c>
      <c r="D44" s="556">
        <v>4132.43</v>
      </c>
      <c r="E44" s="556">
        <v>29367.73</v>
      </c>
      <c r="F44" s="556">
        <v>6004.59</v>
      </c>
      <c r="G44" s="556">
        <f t="shared" si="9"/>
        <v>460772.78</v>
      </c>
      <c r="H44" s="283">
        <v>18</v>
      </c>
      <c r="I44" s="284" t="s">
        <v>327</v>
      </c>
      <c r="J44" s="231">
        <f>G44/H44</f>
        <v>25598.48777777778</v>
      </c>
    </row>
    <row r="45" spans="1:10" ht="72">
      <c r="A45" s="214">
        <f t="shared" si="8"/>
        <v>15</v>
      </c>
      <c r="B45" s="262" t="s">
        <v>275</v>
      </c>
      <c r="C45" s="556">
        <v>3169870.11</v>
      </c>
      <c r="D45" s="556">
        <v>41839.86</v>
      </c>
      <c r="E45" s="556">
        <v>251226.94</v>
      </c>
      <c r="F45" s="556">
        <v>171983.95</v>
      </c>
      <c r="G45" s="556">
        <f t="shared" si="9"/>
        <v>3634920.86</v>
      </c>
      <c r="H45" s="325">
        <v>57120</v>
      </c>
      <c r="I45" s="282" t="s">
        <v>88</v>
      </c>
      <c r="J45" s="231">
        <f t="shared" si="7"/>
        <v>63.636569677871144</v>
      </c>
    </row>
    <row r="46" spans="1:10" ht="24">
      <c r="A46" s="214">
        <f t="shared" si="8"/>
        <v>16</v>
      </c>
      <c r="B46" s="213" t="s">
        <v>276</v>
      </c>
      <c r="C46" s="556">
        <v>4226493.48</v>
      </c>
      <c r="D46" s="556">
        <v>55786.48</v>
      </c>
      <c r="E46" s="556">
        <v>334969.25</v>
      </c>
      <c r="F46" s="556">
        <v>229311.93</v>
      </c>
      <c r="G46" s="556">
        <f t="shared" si="9"/>
        <v>4846561.140000001</v>
      </c>
      <c r="H46" s="283">
        <v>95369</v>
      </c>
      <c r="I46" s="284" t="s">
        <v>89</v>
      </c>
      <c r="J46" s="231">
        <f t="shared" si="7"/>
        <v>50.81904119787353</v>
      </c>
    </row>
    <row r="47" spans="1:10" ht="24">
      <c r="A47" s="214">
        <f t="shared" si="8"/>
        <v>17</v>
      </c>
      <c r="B47" s="213" t="s">
        <v>333</v>
      </c>
      <c r="C47" s="556">
        <v>3169870.12</v>
      </c>
      <c r="D47" s="556">
        <v>41839.85</v>
      </c>
      <c r="E47" s="556">
        <v>251226.94</v>
      </c>
      <c r="F47" s="556">
        <v>171983.96</v>
      </c>
      <c r="G47" s="556">
        <f t="shared" si="9"/>
        <v>3634920.87</v>
      </c>
      <c r="H47" s="283">
        <v>343</v>
      </c>
      <c r="I47" s="284" t="s">
        <v>4</v>
      </c>
      <c r="J47" s="231">
        <f t="shared" si="7"/>
        <v>10597.43693877551</v>
      </c>
    </row>
    <row r="48" spans="1:10" ht="24">
      <c r="A48" s="214">
        <f>+A47+1</f>
        <v>18</v>
      </c>
      <c r="B48" s="213" t="s">
        <v>451</v>
      </c>
      <c r="C48" s="556">
        <v>10669908.5</v>
      </c>
      <c r="D48" s="556">
        <v>62003.97</v>
      </c>
      <c r="E48" s="556">
        <v>915776.43</v>
      </c>
      <c r="F48" s="556">
        <v>1300633.46</v>
      </c>
      <c r="G48" s="556">
        <f t="shared" si="9"/>
        <v>12948322.36</v>
      </c>
      <c r="H48" s="283">
        <v>1</v>
      </c>
      <c r="I48" s="284" t="s">
        <v>99</v>
      </c>
      <c r="J48" s="231">
        <f t="shared" si="7"/>
        <v>12948322.36</v>
      </c>
    </row>
    <row r="49" spans="1:10" ht="48">
      <c r="A49" s="214">
        <f t="shared" si="8"/>
        <v>19</v>
      </c>
      <c r="B49" s="219" t="s">
        <v>278</v>
      </c>
      <c r="C49" s="556">
        <v>6289266.32</v>
      </c>
      <c r="D49" s="556">
        <v>77481.22</v>
      </c>
      <c r="E49" s="556">
        <v>583371.77</v>
      </c>
      <c r="F49" s="556">
        <v>110358.55</v>
      </c>
      <c r="G49" s="556">
        <f t="shared" si="9"/>
        <v>7060477.86</v>
      </c>
      <c r="H49" s="325">
        <v>10282</v>
      </c>
      <c r="I49" s="282" t="s">
        <v>100</v>
      </c>
      <c r="J49" s="231">
        <f t="shared" si="7"/>
        <v>686.6833164753939</v>
      </c>
    </row>
    <row r="50" spans="1:10" ht="24">
      <c r="A50" s="214">
        <f t="shared" si="8"/>
        <v>20</v>
      </c>
      <c r="B50" s="213" t="s">
        <v>279</v>
      </c>
      <c r="C50" s="556">
        <v>4839222.1</v>
      </c>
      <c r="D50" s="556">
        <v>46489.73</v>
      </c>
      <c r="E50" s="556">
        <v>202982.59</v>
      </c>
      <c r="F50" s="556">
        <v>127226.1</v>
      </c>
      <c r="G50" s="556">
        <f t="shared" si="9"/>
        <v>5215920.52</v>
      </c>
      <c r="H50" s="283">
        <v>94</v>
      </c>
      <c r="I50" s="284" t="s">
        <v>4</v>
      </c>
      <c r="J50" s="231">
        <f>G50/H50</f>
        <v>55488.51617021276</v>
      </c>
    </row>
    <row r="51" spans="1:10" ht="48">
      <c r="A51" s="214">
        <f t="shared" si="8"/>
        <v>21</v>
      </c>
      <c r="B51" s="219" t="s">
        <v>280</v>
      </c>
      <c r="C51" s="556">
        <v>3171602.3</v>
      </c>
      <c r="D51" s="556">
        <v>36158.9</v>
      </c>
      <c r="E51" s="556">
        <v>404997.18</v>
      </c>
      <c r="F51" s="556">
        <v>51500.66</v>
      </c>
      <c r="G51" s="556">
        <f t="shared" si="9"/>
        <v>3664259.04</v>
      </c>
      <c r="H51" s="325">
        <v>3000</v>
      </c>
      <c r="I51" s="287" t="s">
        <v>101</v>
      </c>
      <c r="J51" s="231">
        <f>G51/H51</f>
        <v>1221.41968</v>
      </c>
    </row>
    <row r="52" spans="1:10" ht="24.75" thickBot="1">
      <c r="A52" s="217"/>
      <c r="B52" s="216" t="s">
        <v>27</v>
      </c>
      <c r="C52" s="232">
        <f>SUM(C5:C8,C11:C19,C20:C28,C29,C31:C40,C41:C51,C9:C10)</f>
        <v>650912478.32</v>
      </c>
      <c r="D52" s="232">
        <f>SUM(D5:D8,D11:D19,D20:D28,D29,D31:D40,D41:D51,D9:D10)</f>
        <v>5226768.2</v>
      </c>
      <c r="E52" s="232">
        <f>SUM(E5:E8,E11:E19,E20:E28,E29,E31:E40,E41:E51,E9:E10)</f>
        <v>106385868.92999998</v>
      </c>
      <c r="F52" s="232">
        <f>SUM(F5:F8,F11:F19,F20:F28,F29,F31:F40,F41:F51,F9:F10)</f>
        <v>29186122.25</v>
      </c>
      <c r="G52" s="232">
        <f>SUM(G5:G8,G11:G19,G20:G28,G29,G31:G40,G41:G51,G9:G10)</f>
        <v>791711237.6999999</v>
      </c>
      <c r="H52" s="240"/>
      <c r="I52" s="232"/>
      <c r="J52" s="233"/>
    </row>
    <row r="53" ht="24.75" thickTop="1"/>
  </sheetData>
  <sheetProtection/>
  <printOptions horizontalCentered="1"/>
  <pageMargins left="0.419291339" right="0.222440945" top="0.340551181" bottom="0.340551181" header="0.511811023622047" footer="0.511811023622047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31" zoomScalePageLayoutView="0" workbookViewId="0" topLeftCell="A1">
      <pane xSplit="3" ySplit="3" topLeftCell="D4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C9" sqref="C9"/>
    </sheetView>
  </sheetViews>
  <sheetFormatPr defaultColWidth="9.140625" defaultRowHeight="12.75"/>
  <cols>
    <col min="1" max="1" width="3.28125" style="26" bestFit="1" customWidth="1"/>
    <col min="2" max="2" width="9.8515625" style="143" customWidth="1"/>
    <col min="3" max="3" width="61.421875" style="26" customWidth="1"/>
    <col min="4" max="4" width="20.140625" style="235" customWidth="1"/>
    <col min="5" max="5" width="19.140625" style="235" customWidth="1"/>
    <col min="6" max="6" width="18.00390625" style="235" customWidth="1"/>
    <col min="7" max="7" width="17.8515625" style="235" customWidth="1"/>
    <col min="8" max="8" width="23.421875" style="235" customWidth="1"/>
    <col min="9" max="9" width="11.8515625" style="241" customWidth="1"/>
    <col min="10" max="10" width="12.7109375" style="234" customWidth="1"/>
    <col min="11" max="11" width="28.00390625" style="235" customWidth="1"/>
    <col min="12" max="16384" width="9.140625" style="26" customWidth="1"/>
  </cols>
  <sheetData>
    <row r="1" spans="2:13" s="150" customFormat="1" ht="24">
      <c r="B1" s="242"/>
      <c r="C1" s="149" t="s">
        <v>118</v>
      </c>
      <c r="D1" s="223"/>
      <c r="E1" s="223"/>
      <c r="F1" s="223"/>
      <c r="G1" s="223"/>
      <c r="H1" s="223"/>
      <c r="I1" s="236"/>
      <c r="J1" s="222"/>
      <c r="K1" s="223"/>
      <c r="L1" s="242"/>
      <c r="M1" s="242"/>
    </row>
    <row r="2" spans="2:11" s="150" customFormat="1" ht="24">
      <c r="B2" s="242"/>
      <c r="D2" s="223"/>
      <c r="E2" s="223"/>
      <c r="F2" s="223"/>
      <c r="G2" s="223"/>
      <c r="H2" s="223"/>
      <c r="I2" s="236"/>
      <c r="J2" s="224"/>
      <c r="K2" s="225" t="s">
        <v>17</v>
      </c>
    </row>
    <row r="3" spans="1:11" s="151" customFormat="1" ht="48">
      <c r="A3" s="209"/>
      <c r="B3" s="337"/>
      <c r="C3" s="210" t="s">
        <v>14</v>
      </c>
      <c r="D3" s="227" t="s">
        <v>0</v>
      </c>
      <c r="E3" s="227" t="s">
        <v>1</v>
      </c>
      <c r="F3" s="227" t="s">
        <v>2</v>
      </c>
      <c r="G3" s="227" t="s">
        <v>3</v>
      </c>
      <c r="H3" s="227" t="s">
        <v>11</v>
      </c>
      <c r="I3" s="237" t="s">
        <v>9</v>
      </c>
      <c r="J3" s="226" t="s">
        <v>10</v>
      </c>
      <c r="K3" s="227" t="s">
        <v>12</v>
      </c>
    </row>
    <row r="4" spans="1:11" s="143" customFormat="1" ht="24">
      <c r="A4" s="211"/>
      <c r="B4" s="338"/>
      <c r="C4" s="212" t="s">
        <v>15</v>
      </c>
      <c r="D4" s="229"/>
      <c r="E4" s="229"/>
      <c r="F4" s="229"/>
      <c r="G4" s="229"/>
      <c r="H4" s="229"/>
      <c r="I4" s="238"/>
      <c r="J4" s="228"/>
      <c r="K4" s="229"/>
    </row>
    <row r="5" spans="1:11" s="143" customFormat="1" ht="24">
      <c r="A5" s="211">
        <v>1</v>
      </c>
      <c r="B5" s="338">
        <v>115</v>
      </c>
      <c r="C5" s="213" t="s">
        <v>247</v>
      </c>
      <c r="D5" s="231">
        <f>13902777.96-1104869.19</f>
        <v>12797908.770000001</v>
      </c>
      <c r="E5" s="231">
        <f>-1083147.43+1104869.19</f>
        <v>21721.76000000001</v>
      </c>
      <c r="F5" s="231">
        <v>224814.65</v>
      </c>
      <c r="G5" s="231">
        <v>37966.41</v>
      </c>
      <c r="H5" s="231">
        <f aca="true" t="shared" si="0" ref="H5:H30">SUM(D5:G5)</f>
        <v>13082411.590000002</v>
      </c>
      <c r="I5" s="238">
        <v>63</v>
      </c>
      <c r="J5" s="228" t="s">
        <v>4</v>
      </c>
      <c r="K5" s="231">
        <f>H5/I5</f>
        <v>207657.32682539686</v>
      </c>
    </row>
    <row r="6" spans="1:11" s="143" customFormat="1" ht="24">
      <c r="A6" s="211">
        <f>+A5+1</f>
        <v>2</v>
      </c>
      <c r="B6" s="338">
        <v>116</v>
      </c>
      <c r="C6" s="213" t="s">
        <v>248</v>
      </c>
      <c r="D6" s="231">
        <f>10813271.75-859342.71</f>
        <v>9953929.04</v>
      </c>
      <c r="E6" s="231">
        <f>-842448+859342.71</f>
        <v>16894.709999999963</v>
      </c>
      <c r="F6" s="231">
        <v>174855.84</v>
      </c>
      <c r="G6" s="231">
        <v>29529.42</v>
      </c>
      <c r="H6" s="231">
        <f t="shared" si="0"/>
        <v>10175209.01</v>
      </c>
      <c r="I6" s="238">
        <v>50</v>
      </c>
      <c r="J6" s="228" t="s">
        <v>4</v>
      </c>
      <c r="K6" s="231">
        <f>H6/I6</f>
        <v>203504.1802</v>
      </c>
    </row>
    <row r="7" spans="1:11" s="143" customFormat="1" ht="24" customHeight="1">
      <c r="A7" s="211">
        <f aca="true" t="shared" si="1" ref="A7:A29">+A6+1</f>
        <v>3</v>
      </c>
      <c r="B7" s="338">
        <v>117</v>
      </c>
      <c r="C7" s="219" t="s">
        <v>249</v>
      </c>
      <c r="D7" s="231">
        <f>4634259.32-368289.73</f>
        <v>4265969.59</v>
      </c>
      <c r="E7" s="231">
        <f>-361049.14+368289.73</f>
        <v>7240.589999999967</v>
      </c>
      <c r="F7" s="231">
        <v>74938.21</v>
      </c>
      <c r="G7" s="231">
        <v>12655.47</v>
      </c>
      <c r="H7" s="231">
        <f t="shared" si="0"/>
        <v>4360803.859999999</v>
      </c>
      <c r="I7" s="238">
        <v>24</v>
      </c>
      <c r="J7" s="228" t="s">
        <v>4</v>
      </c>
      <c r="K7" s="231">
        <f aca="true" t="shared" si="2" ref="K7:K30">H7/I7</f>
        <v>181700.1608333333</v>
      </c>
    </row>
    <row r="8" spans="1:11" s="143" customFormat="1" ht="24" customHeight="1">
      <c r="A8" s="211">
        <f t="shared" si="1"/>
        <v>4</v>
      </c>
      <c r="B8" s="338">
        <v>141</v>
      </c>
      <c r="C8" s="219" t="s">
        <v>250</v>
      </c>
      <c r="D8" s="231">
        <f>1544753.1+25767149.69+8177767.96-122763.24</f>
        <v>35366907.51</v>
      </c>
      <c r="E8" s="231">
        <f>-120349.71+45802.31+32011.01+122763.24</f>
        <v>80226.84999999999</v>
      </c>
      <c r="F8" s="231">
        <f>24979.41+1678576.16+281413.68</f>
        <v>1984969.2499999998</v>
      </c>
      <c r="G8" s="231">
        <f>4218.48+2010981.85+55411.55</f>
        <v>2070611.8800000001</v>
      </c>
      <c r="H8" s="231">
        <f t="shared" si="0"/>
        <v>39502715.49</v>
      </c>
      <c r="I8" s="238">
        <f>5+11+1</f>
        <v>17</v>
      </c>
      <c r="J8" s="228" t="s">
        <v>4</v>
      </c>
      <c r="K8" s="231">
        <f>H8/I8</f>
        <v>2323689.146470588</v>
      </c>
    </row>
    <row r="9" spans="1:11" s="143" customFormat="1" ht="24">
      <c r="A9" s="211">
        <f t="shared" si="1"/>
        <v>5</v>
      </c>
      <c r="B9" s="338">
        <v>128</v>
      </c>
      <c r="C9" s="213" t="s">
        <v>251</v>
      </c>
      <c r="D9" s="231">
        <f>288431704.8-2741737.41</f>
        <v>285689967.39</v>
      </c>
      <c r="E9" s="231">
        <f>-2608536.47+2741737.41</f>
        <v>133200.93999999994</v>
      </c>
      <c r="F9" s="231">
        <v>989857.38</v>
      </c>
      <c r="G9" s="231">
        <v>4470501.95</v>
      </c>
      <c r="H9" s="231">
        <f t="shared" si="0"/>
        <v>291283527.65999997</v>
      </c>
      <c r="I9" s="238">
        <v>118</v>
      </c>
      <c r="J9" s="228" t="s">
        <v>4</v>
      </c>
      <c r="K9" s="231">
        <f t="shared" si="2"/>
        <v>2468504.471694915</v>
      </c>
    </row>
    <row r="10" spans="1:11" s="143" customFormat="1" ht="24" customHeight="1">
      <c r="A10" s="211">
        <f t="shared" si="1"/>
        <v>6</v>
      </c>
      <c r="B10" s="338">
        <v>118</v>
      </c>
      <c r="C10" s="213" t="s">
        <v>290</v>
      </c>
      <c r="D10" s="231">
        <f>59283667.94+8193826.88</f>
        <v>67477494.82</v>
      </c>
      <c r="E10" s="231">
        <f>371826.99+51391.66</f>
        <v>423218.65</v>
      </c>
      <c r="F10" s="231">
        <f>639774.58+88425.74</f>
        <v>728200.32</v>
      </c>
      <c r="G10" s="231">
        <f>144534.73+19976.71</f>
        <v>164511.44</v>
      </c>
      <c r="H10" s="231">
        <f t="shared" si="0"/>
        <v>68793425.22999999</v>
      </c>
      <c r="I10" s="238">
        <f>1049+1084</f>
        <v>2133</v>
      </c>
      <c r="J10" s="228" t="s">
        <v>4</v>
      </c>
      <c r="K10" s="231">
        <f t="shared" si="2"/>
        <v>32251.957444913263</v>
      </c>
    </row>
    <row r="11" spans="1:11" s="143" customFormat="1" ht="24" customHeight="1">
      <c r="A11" s="211">
        <f t="shared" si="1"/>
        <v>7</v>
      </c>
      <c r="B11" s="338">
        <v>119</v>
      </c>
      <c r="C11" s="219" t="s">
        <v>252</v>
      </c>
      <c r="D11" s="231">
        <v>972615.51</v>
      </c>
      <c r="E11" s="231">
        <v>6100.24</v>
      </c>
      <c r="F11" s="231">
        <v>10496.22</v>
      </c>
      <c r="G11" s="231">
        <v>2371.26</v>
      </c>
      <c r="H11" s="231">
        <f t="shared" si="0"/>
        <v>991583.23</v>
      </c>
      <c r="I11" s="238">
        <v>22029</v>
      </c>
      <c r="J11" s="228" t="s">
        <v>5</v>
      </c>
      <c r="K11" s="231">
        <f t="shared" si="2"/>
        <v>45.01263016932226</v>
      </c>
    </row>
    <row r="12" spans="1:11" s="143" customFormat="1" ht="24" customHeight="1">
      <c r="A12" s="211">
        <f t="shared" si="1"/>
        <v>8</v>
      </c>
      <c r="B12" s="338">
        <v>120</v>
      </c>
      <c r="C12" s="219" t="s">
        <v>253</v>
      </c>
      <c r="D12" s="231">
        <v>10735473.07</v>
      </c>
      <c r="E12" s="231">
        <v>67332.85</v>
      </c>
      <c r="F12" s="231">
        <v>115854.55</v>
      </c>
      <c r="G12" s="231">
        <v>26173.29</v>
      </c>
      <c r="H12" s="231">
        <f t="shared" si="0"/>
        <v>10944833.76</v>
      </c>
      <c r="I12" s="238">
        <v>57</v>
      </c>
      <c r="J12" s="228" t="s">
        <v>4</v>
      </c>
      <c r="K12" s="231">
        <f t="shared" si="2"/>
        <v>192014.62736842106</v>
      </c>
    </row>
    <row r="13" spans="1:11" s="143" customFormat="1" ht="24" customHeight="1">
      <c r="A13" s="211">
        <f t="shared" si="1"/>
        <v>9</v>
      </c>
      <c r="B13" s="338">
        <v>121</v>
      </c>
      <c r="C13" s="219" t="s">
        <v>254</v>
      </c>
      <c r="D13" s="231">
        <v>7478128.67</v>
      </c>
      <c r="E13" s="231">
        <v>46902.81</v>
      </c>
      <c r="F13" s="231">
        <v>80702.1</v>
      </c>
      <c r="G13" s="231">
        <v>18231.82</v>
      </c>
      <c r="H13" s="231">
        <f t="shared" si="0"/>
        <v>7623965.399999999</v>
      </c>
      <c r="I13" s="238">
        <v>120</v>
      </c>
      <c r="J13" s="228" t="s">
        <v>4</v>
      </c>
      <c r="K13" s="231">
        <f t="shared" si="2"/>
        <v>63533.045</v>
      </c>
    </row>
    <row r="14" spans="1:11" s="143" customFormat="1" ht="24">
      <c r="A14" s="211">
        <f t="shared" si="1"/>
        <v>10</v>
      </c>
      <c r="B14" s="338">
        <v>122</v>
      </c>
      <c r="C14" s="219" t="s">
        <v>320</v>
      </c>
      <c r="D14" s="231">
        <v>247741.68</v>
      </c>
      <c r="E14" s="231">
        <v>1553.84</v>
      </c>
      <c r="F14" s="231">
        <v>2673.57</v>
      </c>
      <c r="G14" s="231">
        <v>604</v>
      </c>
      <c r="H14" s="231">
        <f t="shared" si="0"/>
        <v>252573.09</v>
      </c>
      <c r="I14" s="238">
        <v>6</v>
      </c>
      <c r="J14" s="228" t="s">
        <v>4</v>
      </c>
      <c r="K14" s="231">
        <f t="shared" si="2"/>
        <v>42095.515</v>
      </c>
    </row>
    <row r="15" spans="1:11" s="143" customFormat="1" ht="24">
      <c r="A15" s="211">
        <f t="shared" si="1"/>
        <v>11</v>
      </c>
      <c r="B15" s="338">
        <v>123</v>
      </c>
      <c r="C15" s="219" t="s">
        <v>255</v>
      </c>
      <c r="D15" s="231">
        <v>844156.86</v>
      </c>
      <c r="E15" s="231">
        <v>5294.55</v>
      </c>
      <c r="F15" s="231">
        <v>9109.93</v>
      </c>
      <c r="G15" s="231">
        <v>2058.06</v>
      </c>
      <c r="H15" s="231">
        <f t="shared" si="0"/>
        <v>860619.4000000001</v>
      </c>
      <c r="I15" s="238">
        <v>18</v>
      </c>
      <c r="J15" s="228" t="s">
        <v>4</v>
      </c>
      <c r="K15" s="231">
        <f t="shared" si="2"/>
        <v>47812.18888888889</v>
      </c>
    </row>
    <row r="16" spans="1:11" s="143" customFormat="1" ht="24">
      <c r="A16" s="211">
        <f t="shared" si="1"/>
        <v>12</v>
      </c>
      <c r="B16" s="338">
        <v>124</v>
      </c>
      <c r="C16" s="219" t="s">
        <v>256</v>
      </c>
      <c r="D16" s="231">
        <v>2119567.76</v>
      </c>
      <c r="E16" s="231">
        <v>13293.92</v>
      </c>
      <c r="F16" s="231">
        <v>22873.85</v>
      </c>
      <c r="G16" s="231">
        <v>5167.55</v>
      </c>
      <c r="H16" s="231">
        <f t="shared" si="0"/>
        <v>2160903.0799999996</v>
      </c>
      <c r="I16" s="238">
        <v>359</v>
      </c>
      <c r="J16" s="228" t="s">
        <v>4</v>
      </c>
      <c r="K16" s="231">
        <f t="shared" si="2"/>
        <v>6019.228635097492</v>
      </c>
    </row>
    <row r="17" spans="1:11" s="143" customFormat="1" ht="24" customHeight="1">
      <c r="A17" s="211">
        <f t="shared" si="1"/>
        <v>13</v>
      </c>
      <c r="B17" s="338">
        <v>125</v>
      </c>
      <c r="C17" s="219" t="s">
        <v>257</v>
      </c>
      <c r="D17" s="231">
        <v>1413045.17</v>
      </c>
      <c r="E17" s="231">
        <v>8862.62</v>
      </c>
      <c r="F17" s="231">
        <v>15249.23</v>
      </c>
      <c r="G17" s="231">
        <v>3445.03</v>
      </c>
      <c r="H17" s="231">
        <f t="shared" si="0"/>
        <v>1440602.05</v>
      </c>
      <c r="I17" s="238">
        <v>12</v>
      </c>
      <c r="J17" s="228" t="s">
        <v>4</v>
      </c>
      <c r="K17" s="231">
        <f t="shared" si="2"/>
        <v>120050.17083333334</v>
      </c>
    </row>
    <row r="18" spans="1:11" s="143" customFormat="1" ht="24">
      <c r="A18" s="211">
        <f t="shared" si="1"/>
        <v>14</v>
      </c>
      <c r="B18" s="338">
        <v>126</v>
      </c>
      <c r="C18" s="219" t="s">
        <v>258</v>
      </c>
      <c r="D18" s="231">
        <f>46582664.83-29609476.13</f>
        <v>16973188.7</v>
      </c>
      <c r="E18" s="231">
        <f>-612582.46+29609476.13</f>
        <v>28996893.669999998</v>
      </c>
      <c r="F18" s="231">
        <v>770673.37</v>
      </c>
      <c r="G18" s="231">
        <v>2106880.24</v>
      </c>
      <c r="H18" s="231">
        <f>SUM(D18:G18)</f>
        <v>48847635.98</v>
      </c>
      <c r="I18" s="238">
        <v>26</v>
      </c>
      <c r="J18" s="228" t="s">
        <v>4</v>
      </c>
      <c r="K18" s="231">
        <f t="shared" si="2"/>
        <v>1878755.23</v>
      </c>
    </row>
    <row r="19" spans="1:11" s="143" customFormat="1" ht="24" customHeight="1">
      <c r="A19" s="211">
        <f t="shared" si="1"/>
        <v>15</v>
      </c>
      <c r="B19" s="338">
        <v>129</v>
      </c>
      <c r="C19" s="219" t="s">
        <v>259</v>
      </c>
      <c r="D19" s="231">
        <v>6978663.71</v>
      </c>
      <c r="E19" s="231">
        <v>38108.35</v>
      </c>
      <c r="F19" s="231">
        <v>370291.62</v>
      </c>
      <c r="G19" s="231">
        <v>59768.98</v>
      </c>
      <c r="H19" s="231">
        <f t="shared" si="0"/>
        <v>7446832.66</v>
      </c>
      <c r="I19" s="238">
        <v>35</v>
      </c>
      <c r="J19" s="228" t="s">
        <v>4</v>
      </c>
      <c r="K19" s="231">
        <f t="shared" si="2"/>
        <v>212766.64742857142</v>
      </c>
    </row>
    <row r="20" spans="1:11" s="143" customFormat="1" ht="24" customHeight="1">
      <c r="A20" s="211">
        <f t="shared" si="1"/>
        <v>16</v>
      </c>
      <c r="B20" s="338">
        <v>136</v>
      </c>
      <c r="C20" s="219" t="s">
        <v>260</v>
      </c>
      <c r="D20" s="231">
        <v>24978613.2</v>
      </c>
      <c r="E20" s="231">
        <v>27946.12</v>
      </c>
      <c r="F20" s="231">
        <v>247126.37</v>
      </c>
      <c r="G20" s="231">
        <v>87134.6</v>
      </c>
      <c r="H20" s="231">
        <f t="shared" si="0"/>
        <v>25340820.290000003</v>
      </c>
      <c r="I20" s="238">
        <v>270</v>
      </c>
      <c r="J20" s="228" t="s">
        <v>4</v>
      </c>
      <c r="K20" s="231">
        <f t="shared" si="2"/>
        <v>93854.88996296297</v>
      </c>
    </row>
    <row r="21" spans="1:11" s="143" customFormat="1" ht="24" customHeight="1">
      <c r="A21" s="211">
        <f t="shared" si="1"/>
        <v>17</v>
      </c>
      <c r="B21" s="338">
        <v>142</v>
      </c>
      <c r="C21" s="219" t="s">
        <v>285</v>
      </c>
      <c r="D21" s="231">
        <v>24978613.19</v>
      </c>
      <c r="E21" s="231">
        <v>27946.13</v>
      </c>
      <c r="F21" s="231">
        <v>247126.38</v>
      </c>
      <c r="G21" s="231">
        <v>87134.6</v>
      </c>
      <c r="H21" s="231">
        <f t="shared" si="0"/>
        <v>25340820.3</v>
      </c>
      <c r="I21" s="238">
        <v>1027</v>
      </c>
      <c r="J21" s="228" t="s">
        <v>6</v>
      </c>
      <c r="K21" s="231">
        <f t="shared" si="2"/>
        <v>24674.60593962999</v>
      </c>
    </row>
    <row r="22" spans="1:11" s="143" customFormat="1" ht="24">
      <c r="A22" s="211">
        <f t="shared" si="1"/>
        <v>18</v>
      </c>
      <c r="B22" s="338">
        <v>135</v>
      </c>
      <c r="C22" s="219" t="s">
        <v>261</v>
      </c>
      <c r="D22" s="231">
        <f>6978663.71+6814806.64</f>
        <v>13793470.35</v>
      </c>
      <c r="E22" s="231">
        <f>38108.35+26675.85</f>
        <v>64784.2</v>
      </c>
      <c r="F22" s="231">
        <f>370291.62+234511.39</f>
        <v>604803.01</v>
      </c>
      <c r="G22" s="231">
        <f>59768.98+46176.29</f>
        <v>105945.27</v>
      </c>
      <c r="H22" s="231">
        <f>SUM(D22:G22)</f>
        <v>14569002.829999998</v>
      </c>
      <c r="I22" s="238">
        <v>1</v>
      </c>
      <c r="J22" s="228" t="s">
        <v>4</v>
      </c>
      <c r="K22" s="231">
        <f t="shared" si="2"/>
        <v>14569002.829999998</v>
      </c>
    </row>
    <row r="23" spans="1:11" s="143" customFormat="1" ht="24" customHeight="1">
      <c r="A23" s="211">
        <f t="shared" si="1"/>
        <v>19</v>
      </c>
      <c r="B23" s="338">
        <v>131</v>
      </c>
      <c r="C23" s="219" t="s">
        <v>281</v>
      </c>
      <c r="D23" s="231">
        <f>2492953.59-51440.4</f>
        <v>2441513.19</v>
      </c>
      <c r="E23" s="231">
        <f>1008302.29+51440.4</f>
        <v>1059742.69</v>
      </c>
      <c r="F23" s="231">
        <v>54859.44</v>
      </c>
      <c r="G23" s="231">
        <v>12033.93</v>
      </c>
      <c r="H23" s="231">
        <f t="shared" si="0"/>
        <v>3568149.25</v>
      </c>
      <c r="I23" s="238">
        <v>13</v>
      </c>
      <c r="J23" s="228" t="s">
        <v>4</v>
      </c>
      <c r="K23" s="231">
        <f t="shared" si="2"/>
        <v>274473.01923076925</v>
      </c>
    </row>
    <row r="24" spans="1:11" s="143" customFormat="1" ht="24">
      <c r="A24" s="211">
        <f t="shared" si="1"/>
        <v>20</v>
      </c>
      <c r="B24" s="338">
        <v>132</v>
      </c>
      <c r="C24" s="219" t="s">
        <v>262</v>
      </c>
      <c r="D24" s="231">
        <f>1806863.58-37283.4</f>
        <v>1769580.1800000002</v>
      </c>
      <c r="E24" s="231">
        <f>730805.71+37283.4</f>
        <v>768089.11</v>
      </c>
      <c r="F24" s="231">
        <v>39761.48</v>
      </c>
      <c r="G24" s="231">
        <v>8722.05</v>
      </c>
      <c r="H24" s="231">
        <f t="shared" si="0"/>
        <v>2586152.82</v>
      </c>
      <c r="I24" s="238">
        <v>8</v>
      </c>
      <c r="J24" s="228" t="s">
        <v>4</v>
      </c>
      <c r="K24" s="231">
        <f t="shared" si="2"/>
        <v>323269.1025</v>
      </c>
    </row>
    <row r="25" spans="1:11" s="143" customFormat="1" ht="24">
      <c r="A25" s="211">
        <f t="shared" si="1"/>
        <v>21</v>
      </c>
      <c r="B25" s="338">
        <v>133</v>
      </c>
      <c r="C25" s="219" t="s">
        <v>263</v>
      </c>
      <c r="D25" s="231">
        <f>2180134.92-44985.6</f>
        <v>2135149.32</v>
      </c>
      <c r="E25" s="231">
        <f>881779.38+44985.6</f>
        <v>926764.98</v>
      </c>
      <c r="F25" s="231">
        <v>47975.62</v>
      </c>
      <c r="G25" s="231">
        <v>10523.9</v>
      </c>
      <c r="H25" s="231">
        <f t="shared" si="0"/>
        <v>3120413.82</v>
      </c>
      <c r="I25" s="238">
        <v>10</v>
      </c>
      <c r="J25" s="228" t="s">
        <v>4</v>
      </c>
      <c r="K25" s="231">
        <f t="shared" si="2"/>
        <v>312041.382</v>
      </c>
    </row>
    <row r="26" spans="1:11" s="143" customFormat="1" ht="48">
      <c r="A26" s="331">
        <f t="shared" si="1"/>
        <v>22</v>
      </c>
      <c r="B26" s="339">
        <v>143</v>
      </c>
      <c r="C26" s="220" t="s">
        <v>284</v>
      </c>
      <c r="D26" s="231">
        <f>9595664.27-198000</f>
        <v>9397664.27</v>
      </c>
      <c r="E26" s="231">
        <f>3881071.19+198000</f>
        <v>4079071.19</v>
      </c>
      <c r="F26" s="231">
        <v>211160.29</v>
      </c>
      <c r="G26" s="231">
        <v>46319.99</v>
      </c>
      <c r="H26" s="231">
        <f t="shared" si="0"/>
        <v>13734215.739999998</v>
      </c>
      <c r="I26" s="238">
        <v>11</v>
      </c>
      <c r="J26" s="228" t="s">
        <v>4</v>
      </c>
      <c r="K26" s="231">
        <f t="shared" si="2"/>
        <v>1248565.0672727271</v>
      </c>
    </row>
    <row r="27" spans="1:11" s="143" customFormat="1" ht="24">
      <c r="A27" s="211">
        <f t="shared" si="1"/>
        <v>23</v>
      </c>
      <c r="B27" s="338"/>
      <c r="C27" s="219" t="s">
        <v>282</v>
      </c>
      <c r="D27" s="231">
        <f>2492953.58-51440.4</f>
        <v>2441513.18</v>
      </c>
      <c r="E27" s="231">
        <f>1008302.29+51440.4</f>
        <v>1059742.69</v>
      </c>
      <c r="F27" s="231">
        <v>54859.45</v>
      </c>
      <c r="G27" s="231">
        <v>12033.93</v>
      </c>
      <c r="H27" s="231">
        <f t="shared" si="0"/>
        <v>3568149.2500000005</v>
      </c>
      <c r="I27" s="238">
        <v>1</v>
      </c>
      <c r="J27" s="228" t="s">
        <v>4</v>
      </c>
      <c r="K27" s="231">
        <f t="shared" si="2"/>
        <v>3568149.2500000005</v>
      </c>
    </row>
    <row r="28" spans="1:11" s="143" customFormat="1" ht="24">
      <c r="A28" s="211">
        <f t="shared" si="1"/>
        <v>24</v>
      </c>
      <c r="B28" s="338">
        <v>138</v>
      </c>
      <c r="C28" s="219" t="s">
        <v>283</v>
      </c>
      <c r="D28" s="231">
        <f>622758.61-12850.2</f>
        <v>609908.41</v>
      </c>
      <c r="E28" s="231">
        <f>251881.52+12850.2</f>
        <v>264731.72</v>
      </c>
      <c r="F28" s="231">
        <v>13704.3</v>
      </c>
      <c r="G28" s="231">
        <v>3006.17</v>
      </c>
      <c r="H28" s="231">
        <f t="shared" si="0"/>
        <v>891350.6000000001</v>
      </c>
      <c r="I28" s="238">
        <v>1</v>
      </c>
      <c r="J28" s="228" t="s">
        <v>4</v>
      </c>
      <c r="K28" s="231">
        <f t="shared" si="2"/>
        <v>891350.6000000001</v>
      </c>
    </row>
    <row r="29" spans="1:11" s="143" customFormat="1" ht="24" customHeight="1">
      <c r="A29" s="211">
        <f t="shared" si="1"/>
        <v>25</v>
      </c>
      <c r="B29" s="338">
        <v>130</v>
      </c>
      <c r="C29" s="213" t="s">
        <v>264</v>
      </c>
      <c r="D29" s="231">
        <v>25767149.7</v>
      </c>
      <c r="E29" s="231">
        <v>45802.32</v>
      </c>
      <c r="F29" s="231">
        <v>1678576.16</v>
      </c>
      <c r="G29" s="231">
        <v>2010981.84</v>
      </c>
      <c r="H29" s="231">
        <f>SUM(D29:G29)</f>
        <v>29502510.02</v>
      </c>
      <c r="I29" s="238">
        <v>2255</v>
      </c>
      <c r="J29" s="228" t="s">
        <v>6</v>
      </c>
      <c r="K29" s="231">
        <f t="shared" si="2"/>
        <v>13083.153002217296</v>
      </c>
    </row>
    <row r="30" spans="1:11" s="143" customFormat="1" ht="24" customHeight="1">
      <c r="A30" s="211">
        <f>+A29+1</f>
        <v>26</v>
      </c>
      <c r="B30" s="338">
        <v>127</v>
      </c>
      <c r="C30" s="213" t="s">
        <v>265</v>
      </c>
      <c r="D30" s="231">
        <v>46885771.82</v>
      </c>
      <c r="E30" s="231">
        <v>513192.46</v>
      </c>
      <c r="F30" s="231">
        <v>5151951.32</v>
      </c>
      <c r="G30" s="231">
        <v>823024.31</v>
      </c>
      <c r="H30" s="231">
        <f t="shared" si="0"/>
        <v>53373939.910000004</v>
      </c>
      <c r="I30" s="238">
        <v>1384</v>
      </c>
      <c r="J30" s="228" t="s">
        <v>98</v>
      </c>
      <c r="K30" s="231">
        <f t="shared" si="2"/>
        <v>38564.98548410405</v>
      </c>
    </row>
    <row r="31" spans="1:11" s="143" customFormat="1" ht="24">
      <c r="A31" s="214"/>
      <c r="B31" s="338"/>
      <c r="C31" s="215" t="s">
        <v>328</v>
      </c>
      <c r="D31" s="328"/>
      <c r="E31" s="328"/>
      <c r="F31" s="328"/>
      <c r="G31" s="328"/>
      <c r="H31" s="328"/>
      <c r="I31" s="239"/>
      <c r="J31" s="230"/>
      <c r="K31" s="231"/>
    </row>
    <row r="32" spans="1:11" ht="24">
      <c r="A32" s="214">
        <v>1</v>
      </c>
      <c r="B32" s="338">
        <v>100</v>
      </c>
      <c r="C32" s="213" t="s">
        <v>266</v>
      </c>
      <c r="D32" s="328">
        <v>3548808.36</v>
      </c>
      <c r="E32" s="328">
        <v>48272.77</v>
      </c>
      <c r="F32" s="328">
        <v>393399.43</v>
      </c>
      <c r="G32" s="328">
        <v>71722.78</v>
      </c>
      <c r="H32" s="328">
        <f aca="true" t="shared" si="3" ref="H32:H47">SUM(D32:G32)</f>
        <v>4062203.34</v>
      </c>
      <c r="I32" s="239">
        <v>20344</v>
      </c>
      <c r="J32" s="230" t="s">
        <v>7</v>
      </c>
      <c r="K32" s="231">
        <f aca="true" t="shared" si="4" ref="K32:K46">H32/I32</f>
        <v>199.67574419976404</v>
      </c>
    </row>
    <row r="33" spans="1:11" ht="24">
      <c r="A33" s="214">
        <f>+A32+1</f>
        <v>2</v>
      </c>
      <c r="B33" s="338">
        <v>101</v>
      </c>
      <c r="C33" s="213" t="s">
        <v>267</v>
      </c>
      <c r="D33" s="328">
        <v>3548808.36</v>
      </c>
      <c r="E33" s="328">
        <v>48272.77</v>
      </c>
      <c r="F33" s="328">
        <v>393399.43</v>
      </c>
      <c r="G33" s="328">
        <v>71722.77</v>
      </c>
      <c r="H33" s="328">
        <f t="shared" si="3"/>
        <v>4062203.33</v>
      </c>
      <c r="I33" s="239">
        <v>1666</v>
      </c>
      <c r="J33" s="230" t="s">
        <v>4</v>
      </c>
      <c r="K33" s="231">
        <f t="shared" si="4"/>
        <v>2438.2973169267707</v>
      </c>
    </row>
    <row r="34" spans="1:11" ht="24">
      <c r="A34" s="214">
        <f aca="true" t="shared" si="5" ref="A34:A48">+A33+1</f>
        <v>3</v>
      </c>
      <c r="B34" s="338">
        <v>102</v>
      </c>
      <c r="C34" s="213" t="s">
        <v>268</v>
      </c>
      <c r="D34" s="328">
        <v>2803047.43</v>
      </c>
      <c r="E34" s="328">
        <v>50034.97</v>
      </c>
      <c r="F34" s="328">
        <v>141653.96</v>
      </c>
      <c r="G34" s="328">
        <v>26655.35</v>
      </c>
      <c r="H34" s="328">
        <f>SUM(D34:G34)</f>
        <v>3021391.7100000004</v>
      </c>
      <c r="I34" s="239">
        <v>455</v>
      </c>
      <c r="J34" s="230" t="s">
        <v>6</v>
      </c>
      <c r="K34" s="231">
        <f>H34/I34</f>
        <v>6640.421340659342</v>
      </c>
    </row>
    <row r="35" spans="1:11" ht="24">
      <c r="A35" s="214">
        <f t="shared" si="5"/>
        <v>4</v>
      </c>
      <c r="B35" s="338">
        <v>103</v>
      </c>
      <c r="C35" s="213" t="s">
        <v>269</v>
      </c>
      <c r="D35" s="328">
        <v>6540444</v>
      </c>
      <c r="E35" s="328">
        <v>116748.28</v>
      </c>
      <c r="F35" s="328">
        <v>330525.91</v>
      </c>
      <c r="G35" s="328">
        <v>62195.82</v>
      </c>
      <c r="H35" s="328">
        <f t="shared" si="3"/>
        <v>7049914.010000001</v>
      </c>
      <c r="I35" s="239">
        <v>9153</v>
      </c>
      <c r="J35" s="230" t="s">
        <v>42</v>
      </c>
      <c r="K35" s="231">
        <f t="shared" si="4"/>
        <v>770.2298710805201</v>
      </c>
    </row>
    <row r="36" spans="1:11" ht="24">
      <c r="A36" s="214">
        <f t="shared" si="5"/>
        <v>5</v>
      </c>
      <c r="B36" s="338">
        <v>104</v>
      </c>
      <c r="C36" s="213" t="s">
        <v>270</v>
      </c>
      <c r="D36" s="328">
        <v>1922607.48</v>
      </c>
      <c r="E36" s="328">
        <v>20324.45</v>
      </c>
      <c r="F36" s="328">
        <v>215492.5</v>
      </c>
      <c r="G36" s="328">
        <v>31876.79</v>
      </c>
      <c r="H36" s="328">
        <f t="shared" si="3"/>
        <v>2190301.2199999997</v>
      </c>
      <c r="I36" s="239">
        <v>760</v>
      </c>
      <c r="J36" s="230" t="s">
        <v>8</v>
      </c>
      <c r="K36" s="231">
        <f t="shared" si="4"/>
        <v>2881.975289473684</v>
      </c>
    </row>
    <row r="37" spans="1:11" ht="48">
      <c r="A37" s="214">
        <f t="shared" si="5"/>
        <v>6</v>
      </c>
      <c r="B37" s="338">
        <v>105</v>
      </c>
      <c r="C37" s="220" t="s">
        <v>271</v>
      </c>
      <c r="D37" s="329">
        <f>19939893.23-3293671.75</f>
        <v>16646221.48</v>
      </c>
      <c r="E37" s="329">
        <f>-3250989.2+3293671.75</f>
        <v>42682.549999999814</v>
      </c>
      <c r="F37" s="329">
        <v>429798.14</v>
      </c>
      <c r="G37" s="329">
        <v>5407168.39</v>
      </c>
      <c r="H37" s="329">
        <f t="shared" si="3"/>
        <v>22525870.560000002</v>
      </c>
      <c r="I37" s="332">
        <v>1117</v>
      </c>
      <c r="J37" s="282" t="s">
        <v>91</v>
      </c>
      <c r="K37" s="231">
        <f t="shared" si="4"/>
        <v>20166.401575649063</v>
      </c>
    </row>
    <row r="38" spans="1:11" ht="24">
      <c r="A38" s="214">
        <f t="shared" si="5"/>
        <v>7</v>
      </c>
      <c r="B38" s="338">
        <v>106</v>
      </c>
      <c r="C38" s="213" t="s">
        <v>272</v>
      </c>
      <c r="D38" s="329">
        <f>29909839.85-4940507.62</f>
        <v>24969332.23</v>
      </c>
      <c r="E38" s="329">
        <f>-4876483.79+4940507.62</f>
        <v>64023.830000000075</v>
      </c>
      <c r="F38" s="329">
        <v>644697.22</v>
      </c>
      <c r="G38" s="329">
        <v>8110752.56</v>
      </c>
      <c r="H38" s="329">
        <f t="shared" si="3"/>
        <v>33788805.84</v>
      </c>
      <c r="I38" s="283">
        <v>1</v>
      </c>
      <c r="J38" s="284" t="s">
        <v>90</v>
      </c>
      <c r="K38" s="231">
        <f t="shared" si="4"/>
        <v>33788805.84</v>
      </c>
    </row>
    <row r="39" spans="1:11" ht="24">
      <c r="A39" s="214">
        <f t="shared" si="5"/>
        <v>8</v>
      </c>
      <c r="B39" s="338">
        <v>107</v>
      </c>
      <c r="C39" s="213" t="s">
        <v>273</v>
      </c>
      <c r="D39" s="329">
        <v>12266651.97</v>
      </c>
      <c r="E39" s="329">
        <v>48016.52</v>
      </c>
      <c r="F39" s="329">
        <v>422120.5</v>
      </c>
      <c r="G39" s="329">
        <v>83117.31</v>
      </c>
      <c r="H39" s="329">
        <f>SUM(D39:G39)</f>
        <v>12819906.3</v>
      </c>
      <c r="I39" s="283">
        <v>1</v>
      </c>
      <c r="J39" s="284" t="s">
        <v>87</v>
      </c>
      <c r="K39" s="231">
        <f>H39/I39</f>
        <v>12819906.3</v>
      </c>
    </row>
    <row r="40" spans="1:11" ht="24">
      <c r="A40" s="300">
        <f t="shared" si="5"/>
        <v>9</v>
      </c>
      <c r="B40" s="343">
        <v>108</v>
      </c>
      <c r="C40" s="213" t="s">
        <v>274</v>
      </c>
      <c r="D40" s="329">
        <v>1237645.17</v>
      </c>
      <c r="E40" s="329">
        <v>14227.12</v>
      </c>
      <c r="F40" s="329">
        <v>130682.05</v>
      </c>
      <c r="G40" s="329">
        <v>23511.35</v>
      </c>
      <c r="H40" s="329">
        <f t="shared" si="3"/>
        <v>1406065.6900000002</v>
      </c>
      <c r="I40" s="283">
        <v>1</v>
      </c>
      <c r="J40" s="284" t="s">
        <v>87</v>
      </c>
      <c r="K40" s="231">
        <f t="shared" si="4"/>
        <v>1406065.6900000002</v>
      </c>
    </row>
    <row r="41" spans="1:11" ht="24">
      <c r="A41" s="214">
        <f t="shared" si="5"/>
        <v>10</v>
      </c>
      <c r="B41" s="338">
        <v>139</v>
      </c>
      <c r="C41" s="213" t="s">
        <v>286</v>
      </c>
      <c r="D41" s="329">
        <v>1237645.17</v>
      </c>
      <c r="E41" s="329">
        <v>14227.12</v>
      </c>
      <c r="F41" s="329">
        <v>130682.05</v>
      </c>
      <c r="G41" s="329">
        <v>23511.35</v>
      </c>
      <c r="H41" s="329">
        <f t="shared" si="3"/>
        <v>1406065.6900000002</v>
      </c>
      <c r="I41" s="283">
        <v>1</v>
      </c>
      <c r="J41" s="284" t="s">
        <v>87</v>
      </c>
      <c r="K41" s="231">
        <f>H41/I41</f>
        <v>1406065.6900000002</v>
      </c>
    </row>
    <row r="42" spans="1:11" ht="24">
      <c r="A42" s="214">
        <f t="shared" si="5"/>
        <v>11</v>
      </c>
      <c r="B42" s="338">
        <v>140</v>
      </c>
      <c r="C42" s="213" t="s">
        <v>287</v>
      </c>
      <c r="D42" s="329">
        <v>618822.59</v>
      </c>
      <c r="E42" s="329">
        <v>7113.55</v>
      </c>
      <c r="F42" s="329">
        <v>65341.02</v>
      </c>
      <c r="G42" s="329">
        <v>11755.68</v>
      </c>
      <c r="H42" s="329">
        <f t="shared" si="3"/>
        <v>703032.8400000001</v>
      </c>
      <c r="I42" s="283">
        <v>1</v>
      </c>
      <c r="J42" s="284" t="s">
        <v>87</v>
      </c>
      <c r="K42" s="231">
        <f>H42/I42</f>
        <v>703032.8400000001</v>
      </c>
    </row>
    <row r="43" spans="1:11" ht="72" customHeight="1">
      <c r="A43" s="214">
        <f t="shared" si="5"/>
        <v>12</v>
      </c>
      <c r="B43" s="338">
        <v>109</v>
      </c>
      <c r="C43" s="262" t="s">
        <v>275</v>
      </c>
      <c r="D43" s="329">
        <v>6061763.17</v>
      </c>
      <c r="E43" s="329">
        <v>100606.05</v>
      </c>
      <c r="F43" s="329">
        <v>415012.43</v>
      </c>
      <c r="G43" s="329">
        <v>172492.49</v>
      </c>
      <c r="H43" s="329">
        <f t="shared" si="3"/>
        <v>6749874.14</v>
      </c>
      <c r="I43" s="325">
        <f>33137+33491</f>
        <v>66628</v>
      </c>
      <c r="J43" s="282" t="s">
        <v>88</v>
      </c>
      <c r="K43" s="231">
        <f t="shared" si="4"/>
        <v>101.30687008464909</v>
      </c>
    </row>
    <row r="44" spans="1:11" ht="48.75" customHeight="1">
      <c r="A44" s="214">
        <f t="shared" si="5"/>
        <v>13</v>
      </c>
      <c r="B44" s="338">
        <v>110</v>
      </c>
      <c r="C44" s="219" t="s">
        <v>276</v>
      </c>
      <c r="D44" s="329">
        <v>4041175.44</v>
      </c>
      <c r="E44" s="329">
        <v>67070.7</v>
      </c>
      <c r="F44" s="329">
        <v>276674.95</v>
      </c>
      <c r="G44" s="329">
        <v>114995</v>
      </c>
      <c r="H44" s="329">
        <f t="shared" si="3"/>
        <v>4499916.09</v>
      </c>
      <c r="I44" s="325">
        <v>101253</v>
      </c>
      <c r="J44" s="290" t="s">
        <v>89</v>
      </c>
      <c r="K44" s="231">
        <f t="shared" si="4"/>
        <v>44.44229889484756</v>
      </c>
    </row>
    <row r="45" spans="1:11" ht="24">
      <c r="A45" s="214">
        <f t="shared" si="5"/>
        <v>14</v>
      </c>
      <c r="B45" s="338">
        <v>114</v>
      </c>
      <c r="C45" s="213" t="s">
        <v>277</v>
      </c>
      <c r="D45" s="329">
        <v>11312528.71</v>
      </c>
      <c r="E45" s="329">
        <v>94623.09</v>
      </c>
      <c r="F45" s="329">
        <v>834575.73</v>
      </c>
      <c r="G45" s="329">
        <v>844839.64</v>
      </c>
      <c r="H45" s="329">
        <f t="shared" si="3"/>
        <v>13086567.170000002</v>
      </c>
      <c r="I45" s="283">
        <v>1</v>
      </c>
      <c r="J45" s="284" t="s">
        <v>99</v>
      </c>
      <c r="K45" s="231">
        <f t="shared" si="4"/>
        <v>13086567.170000002</v>
      </c>
    </row>
    <row r="46" spans="1:11" ht="48">
      <c r="A46" s="281">
        <f t="shared" si="5"/>
        <v>15</v>
      </c>
      <c r="B46" s="339">
        <v>111</v>
      </c>
      <c r="C46" s="285" t="s">
        <v>278</v>
      </c>
      <c r="D46" s="330">
        <v>6521067.05</v>
      </c>
      <c r="E46" s="330">
        <v>76216.7</v>
      </c>
      <c r="F46" s="330">
        <v>670767.12</v>
      </c>
      <c r="G46" s="330">
        <v>124436.96</v>
      </c>
      <c r="H46" s="330">
        <f t="shared" si="3"/>
        <v>7392487.83</v>
      </c>
      <c r="I46" s="286">
        <v>10509</v>
      </c>
      <c r="J46" s="287" t="s">
        <v>100</v>
      </c>
      <c r="K46" s="231">
        <f t="shared" si="4"/>
        <v>703.4435084213532</v>
      </c>
    </row>
    <row r="47" spans="1:11" ht="24">
      <c r="A47" s="214">
        <f t="shared" si="5"/>
        <v>16</v>
      </c>
      <c r="B47" s="338">
        <v>112</v>
      </c>
      <c r="C47" s="213" t="s">
        <v>279</v>
      </c>
      <c r="D47" s="329">
        <v>4917534.42</v>
      </c>
      <c r="E47" s="329">
        <v>45730.02</v>
      </c>
      <c r="F47" s="329">
        <v>370375.84</v>
      </c>
      <c r="G47" s="329">
        <v>133097.78</v>
      </c>
      <c r="H47" s="329">
        <f t="shared" si="3"/>
        <v>5466738.06</v>
      </c>
      <c r="I47" s="283">
        <v>93</v>
      </c>
      <c r="J47" s="284" t="s">
        <v>4</v>
      </c>
      <c r="K47" s="231">
        <f>H47/I47</f>
        <v>58782.12967741935</v>
      </c>
    </row>
    <row r="48" spans="1:11" ht="48">
      <c r="A48" s="214">
        <f t="shared" si="5"/>
        <v>17</v>
      </c>
      <c r="B48" s="338">
        <v>113</v>
      </c>
      <c r="C48" s="219" t="s">
        <v>280</v>
      </c>
      <c r="D48" s="329">
        <v>3368441.28</v>
      </c>
      <c r="E48" s="329">
        <v>30486.68</v>
      </c>
      <c r="F48" s="329">
        <v>279013.25</v>
      </c>
      <c r="G48" s="329">
        <v>47815.18</v>
      </c>
      <c r="H48" s="329">
        <f>SUM(D48:G48)</f>
        <v>3725756.39</v>
      </c>
      <c r="I48" s="325">
        <f>684+1182+70+935</f>
        <v>2871</v>
      </c>
      <c r="J48" s="282" t="s">
        <v>101</v>
      </c>
      <c r="K48" s="231">
        <f>H48/I48</f>
        <v>1297.7207906652734</v>
      </c>
    </row>
    <row r="49" spans="1:11" ht="24.75" thickBot="1">
      <c r="A49" s="217"/>
      <c r="B49" s="345"/>
      <c r="C49" s="216" t="s">
        <v>27</v>
      </c>
      <c r="D49" s="233">
        <f>SUM(D5:D48)</f>
        <v>730076249.3699999</v>
      </c>
      <c r="E49" s="233">
        <f>SUM(E5:E48)</f>
        <v>39593337.13</v>
      </c>
      <c r="F49" s="233">
        <f>SUM(F5:F48)</f>
        <v>20071675.44</v>
      </c>
      <c r="G49" s="233">
        <f>SUM(G5:G48)</f>
        <v>27579004.59</v>
      </c>
      <c r="H49" s="233">
        <f>SUM(H5:H48)</f>
        <v>817320266.5300003</v>
      </c>
      <c r="I49" s="240"/>
      <c r="J49" s="232"/>
      <c r="K49" s="233"/>
    </row>
    <row r="50" spans="4:11" ht="24.75" thickTop="1">
      <c r="D50" s="26"/>
      <c r="E50" s="26"/>
      <c r="F50" s="26"/>
      <c r="G50" s="26"/>
      <c r="H50" s="26"/>
      <c r="I50" s="26"/>
      <c r="J50" s="26"/>
      <c r="K50" s="26"/>
    </row>
  </sheetData>
  <sheetProtection/>
  <printOptions horizontalCentered="1"/>
  <pageMargins left="0.669291338582677" right="0.47244094488189" top="0.590551181102362" bottom="0.840551181" header="0.511811023622047" footer="0.511811023622047"/>
  <pageSetup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"/>
  <sheetViews>
    <sheetView zoomScaleSheetLayoutView="131" zoomScalePageLayoutView="0" workbookViewId="0" topLeftCell="A1">
      <pane xSplit="3" ySplit="3" topLeftCell="D7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140625" defaultRowHeight="12.75"/>
  <cols>
    <col min="1" max="1" width="3.28125" style="26" bestFit="1" customWidth="1"/>
    <col min="2" max="2" width="9.8515625" style="143" customWidth="1"/>
    <col min="3" max="3" width="61.421875" style="26" customWidth="1"/>
    <col min="4" max="4" width="20.140625" style="235" customWidth="1"/>
    <col min="5" max="5" width="19.140625" style="235" customWidth="1"/>
    <col min="6" max="6" width="18.00390625" style="235" customWidth="1"/>
    <col min="7" max="7" width="17.8515625" style="235" customWidth="1"/>
    <col min="8" max="8" width="23.421875" style="235" customWidth="1"/>
    <col min="9" max="9" width="12.7109375" style="241" bestFit="1" customWidth="1"/>
    <col min="10" max="10" width="13.421875" style="234" bestFit="1" customWidth="1"/>
    <col min="11" max="11" width="28.00390625" style="235" customWidth="1"/>
    <col min="12" max="16384" width="9.140625" style="26" customWidth="1"/>
  </cols>
  <sheetData>
    <row r="1" spans="2:13" s="150" customFormat="1" ht="24">
      <c r="B1" s="242"/>
      <c r="C1" s="149" t="s">
        <v>118</v>
      </c>
      <c r="D1" s="223"/>
      <c r="E1" s="223"/>
      <c r="F1" s="223"/>
      <c r="G1" s="223"/>
      <c r="H1" s="223"/>
      <c r="I1" s="236"/>
      <c r="J1" s="222"/>
      <c r="K1" s="223"/>
      <c r="L1" s="242"/>
      <c r="M1" s="242"/>
    </row>
    <row r="2" spans="2:11" s="150" customFormat="1" ht="24">
      <c r="B2" s="242"/>
      <c r="D2" s="223"/>
      <c r="E2" s="223"/>
      <c r="F2" s="223"/>
      <c r="G2" s="223"/>
      <c r="H2" s="223"/>
      <c r="I2" s="236"/>
      <c r="J2" s="224"/>
      <c r="K2" s="225" t="s">
        <v>17</v>
      </c>
    </row>
    <row r="3" spans="1:11" s="151" customFormat="1" ht="48">
      <c r="A3" s="209"/>
      <c r="B3" s="337"/>
      <c r="C3" s="210" t="s">
        <v>14</v>
      </c>
      <c r="D3" s="227" t="s">
        <v>0</v>
      </c>
      <c r="E3" s="227" t="s">
        <v>1</v>
      </c>
      <c r="F3" s="227" t="s">
        <v>2</v>
      </c>
      <c r="G3" s="227" t="s">
        <v>3</v>
      </c>
      <c r="H3" s="227" t="s">
        <v>11</v>
      </c>
      <c r="I3" s="237" t="s">
        <v>9</v>
      </c>
      <c r="J3" s="226" t="s">
        <v>10</v>
      </c>
      <c r="K3" s="227" t="s">
        <v>12</v>
      </c>
    </row>
    <row r="4" spans="1:11" s="143" customFormat="1" ht="24">
      <c r="A4" s="211"/>
      <c r="B4" s="338"/>
      <c r="C4" s="212" t="s">
        <v>15</v>
      </c>
      <c r="D4" s="229"/>
      <c r="E4" s="229"/>
      <c r="F4" s="229"/>
      <c r="G4" s="229"/>
      <c r="H4" s="229"/>
      <c r="I4" s="238"/>
      <c r="J4" s="228"/>
      <c r="K4" s="229"/>
    </row>
    <row r="5" spans="1:11" s="143" customFormat="1" ht="24">
      <c r="A5" s="211">
        <v>1</v>
      </c>
      <c r="B5" s="338">
        <v>115</v>
      </c>
      <c r="C5" s="213" t="s">
        <v>247</v>
      </c>
      <c r="D5" s="231">
        <v>8794721.068257986</v>
      </c>
      <c r="E5" s="231">
        <v>13639.787284263955</v>
      </c>
      <c r="F5" s="231">
        <v>828853.7804314721</v>
      </c>
      <c r="G5" s="231">
        <v>19751.936243654818</v>
      </c>
      <c r="H5" s="231">
        <f aca="true" t="shared" si="0" ref="H5:H36">SUM(D5:G5)</f>
        <v>9656966.572217377</v>
      </c>
      <c r="I5" s="238">
        <v>65</v>
      </c>
      <c r="J5" s="228" t="s">
        <v>4</v>
      </c>
      <c r="K5" s="231">
        <f>H5/I5</f>
        <v>148568.71649565196</v>
      </c>
    </row>
    <row r="6" spans="1:11" s="143" customFormat="1" ht="24">
      <c r="A6" s="211">
        <f>+A5+1</f>
        <v>2</v>
      </c>
      <c r="B6" s="338">
        <v>116</v>
      </c>
      <c r="C6" s="213" t="s">
        <v>248</v>
      </c>
      <c r="D6" s="231">
        <v>9720486.710521333</v>
      </c>
      <c r="E6" s="231">
        <v>10299.431214648293</v>
      </c>
      <c r="F6" s="231">
        <v>625869.181142132</v>
      </c>
      <c r="G6" s="231">
        <v>14914.727367657719</v>
      </c>
      <c r="H6" s="231">
        <f t="shared" si="0"/>
        <v>10371570.050245771</v>
      </c>
      <c r="I6" s="238">
        <v>50</v>
      </c>
      <c r="J6" s="228" t="s">
        <v>4</v>
      </c>
      <c r="K6" s="231">
        <f>H6/I6</f>
        <v>207431.40100491542</v>
      </c>
    </row>
    <row r="7" spans="1:11" s="143" customFormat="1" ht="24">
      <c r="A7" s="211">
        <f aca="true" t="shared" si="1" ref="A7:A36">+A6+1</f>
        <v>3</v>
      </c>
      <c r="B7" s="338">
        <v>117</v>
      </c>
      <c r="C7" s="219" t="s">
        <v>249</v>
      </c>
      <c r="D7" s="231">
        <v>1839694.4223594237</v>
      </c>
      <c r="E7" s="231">
        <v>3897.0820812182733</v>
      </c>
      <c r="F7" s="231">
        <v>236815.36583756344</v>
      </c>
      <c r="G7" s="231">
        <v>5643.410355329947</v>
      </c>
      <c r="H7" s="231">
        <f t="shared" si="0"/>
        <v>2086050.2806335355</v>
      </c>
      <c r="I7" s="238">
        <v>19</v>
      </c>
      <c r="J7" s="228" t="s">
        <v>4</v>
      </c>
      <c r="K7" s="231">
        <f aca="true" t="shared" si="2" ref="K7:K36">H7/I7</f>
        <v>109792.12003334398</v>
      </c>
    </row>
    <row r="8" spans="1:11" s="143" customFormat="1" ht="24">
      <c r="A8" s="211">
        <f t="shared" si="1"/>
        <v>4</v>
      </c>
      <c r="B8" s="338">
        <v>118</v>
      </c>
      <c r="C8" s="219" t="s">
        <v>290</v>
      </c>
      <c r="D8" s="231">
        <v>3980445.897298299</v>
      </c>
      <c r="E8" s="231">
        <v>103746.9467067669</v>
      </c>
      <c r="F8" s="231">
        <v>4233271.06209168</v>
      </c>
      <c r="G8" s="231">
        <v>48231.20302110113</v>
      </c>
      <c r="H8" s="231">
        <f t="shared" si="0"/>
        <v>8365695.109117846</v>
      </c>
      <c r="I8" s="238">
        <v>1079</v>
      </c>
      <c r="J8" s="228" t="s">
        <v>4</v>
      </c>
      <c r="K8" s="231">
        <f>H8/I8</f>
        <v>7753.192872213018</v>
      </c>
    </row>
    <row r="9" spans="1:11" s="143" customFormat="1" ht="24">
      <c r="A9" s="211">
        <f t="shared" si="1"/>
        <v>5</v>
      </c>
      <c r="B9" s="338">
        <v>119</v>
      </c>
      <c r="C9" s="213" t="s">
        <v>252</v>
      </c>
      <c r="D9" s="231">
        <v>1260081.3510656164</v>
      </c>
      <c r="E9" s="231">
        <v>1371.105022556391</v>
      </c>
      <c r="F9" s="231">
        <v>55946.31359592529</v>
      </c>
      <c r="G9" s="231">
        <v>637.4167800145524</v>
      </c>
      <c r="H9" s="231">
        <f t="shared" si="0"/>
        <v>1318036.1864641125</v>
      </c>
      <c r="I9" s="238">
        <v>1911</v>
      </c>
      <c r="J9" s="228" t="s">
        <v>5</v>
      </c>
      <c r="K9" s="231">
        <f t="shared" si="2"/>
        <v>689.710196998489</v>
      </c>
    </row>
    <row r="10" spans="1:11" s="143" customFormat="1" ht="24">
      <c r="A10" s="211">
        <f t="shared" si="1"/>
        <v>6</v>
      </c>
      <c r="B10" s="338">
        <v>120</v>
      </c>
      <c r="C10" s="213" t="s">
        <v>253</v>
      </c>
      <c r="D10" s="231">
        <v>98574.50237736595</v>
      </c>
      <c r="E10" s="231">
        <v>10207.1151679198</v>
      </c>
      <c r="F10" s="231">
        <v>416489.2234363328</v>
      </c>
      <c r="G10" s="231">
        <v>4745.213806775002</v>
      </c>
      <c r="H10" s="231">
        <f t="shared" si="0"/>
        <v>530016.0547883936</v>
      </c>
      <c r="I10" s="238">
        <v>28</v>
      </c>
      <c r="J10" s="228" t="s">
        <v>4</v>
      </c>
      <c r="K10" s="231">
        <f t="shared" si="2"/>
        <v>18929.144813871197</v>
      </c>
    </row>
    <row r="11" spans="1:11" s="143" customFormat="1" ht="24">
      <c r="A11" s="211">
        <f t="shared" si="1"/>
        <v>7</v>
      </c>
      <c r="B11" s="338">
        <v>121</v>
      </c>
      <c r="C11" s="219" t="s">
        <v>254</v>
      </c>
      <c r="D11" s="231">
        <v>2684229.637131521</v>
      </c>
      <c r="E11" s="231">
        <v>12035.255197994988</v>
      </c>
      <c r="F11" s="231">
        <v>491084.3082308998</v>
      </c>
      <c r="G11" s="231">
        <v>5595.102846794404</v>
      </c>
      <c r="H11" s="231">
        <f t="shared" si="0"/>
        <v>3192944.30340721</v>
      </c>
      <c r="I11" s="238">
        <v>83</v>
      </c>
      <c r="J11" s="228" t="s">
        <v>4</v>
      </c>
      <c r="K11" s="231">
        <f t="shared" si="2"/>
        <v>38469.208474785664</v>
      </c>
    </row>
    <row r="12" spans="1:11" s="143" customFormat="1" ht="24">
      <c r="A12" s="211">
        <f t="shared" si="1"/>
        <v>8</v>
      </c>
      <c r="B12" s="338">
        <v>123</v>
      </c>
      <c r="C12" s="219" t="s">
        <v>255</v>
      </c>
      <c r="D12" s="231">
        <v>1537008.2451641848</v>
      </c>
      <c r="E12" s="231">
        <v>8074.28513283208</v>
      </c>
      <c r="F12" s="231">
        <v>329461.6245093378</v>
      </c>
      <c r="G12" s="231">
        <v>3753.6765934190307</v>
      </c>
      <c r="H12" s="231">
        <f t="shared" si="0"/>
        <v>1878297.8313997737</v>
      </c>
      <c r="I12" s="238">
        <v>60</v>
      </c>
      <c r="J12" s="228" t="s">
        <v>4</v>
      </c>
      <c r="K12" s="231">
        <f t="shared" si="2"/>
        <v>31304.963856662896</v>
      </c>
    </row>
    <row r="13" spans="1:11" s="143" customFormat="1" ht="24">
      <c r="A13" s="211">
        <f t="shared" si="1"/>
        <v>9</v>
      </c>
      <c r="B13" s="338">
        <v>124</v>
      </c>
      <c r="C13" s="219" t="s">
        <v>256</v>
      </c>
      <c r="D13" s="231">
        <v>378203.944754155</v>
      </c>
      <c r="E13" s="231">
        <v>1828.140030075188</v>
      </c>
      <c r="F13" s="231">
        <v>74595.08479456705</v>
      </c>
      <c r="G13" s="231">
        <v>849.8890400194032</v>
      </c>
      <c r="H13" s="231">
        <f t="shared" si="0"/>
        <v>455477.0586188167</v>
      </c>
      <c r="I13" s="238">
        <v>240</v>
      </c>
      <c r="J13" s="228" t="s">
        <v>4</v>
      </c>
      <c r="K13" s="231">
        <f t="shared" si="2"/>
        <v>1897.821077578403</v>
      </c>
    </row>
    <row r="14" spans="1:11" s="143" customFormat="1" ht="24">
      <c r="A14" s="211">
        <f t="shared" si="1"/>
        <v>10</v>
      </c>
      <c r="B14" s="338">
        <v>125</v>
      </c>
      <c r="C14" s="219" t="s">
        <v>257</v>
      </c>
      <c r="D14" s="231">
        <v>1755870.2695083101</v>
      </c>
      <c r="E14" s="231">
        <v>3656.280060150376</v>
      </c>
      <c r="F14" s="231">
        <v>149190.1695891341</v>
      </c>
      <c r="G14" s="231">
        <v>1699.7780800388064</v>
      </c>
      <c r="H14" s="231">
        <f t="shared" si="0"/>
        <v>1910416.4972376334</v>
      </c>
      <c r="I14" s="238">
        <v>12</v>
      </c>
      <c r="J14" s="228" t="s">
        <v>4</v>
      </c>
      <c r="K14" s="231">
        <f t="shared" si="2"/>
        <v>159201.3747698028</v>
      </c>
    </row>
    <row r="15" spans="1:11" s="143" customFormat="1" ht="24">
      <c r="A15" s="211">
        <f t="shared" si="1"/>
        <v>11</v>
      </c>
      <c r="B15" s="338">
        <v>126</v>
      </c>
      <c r="C15" s="219" t="s">
        <v>258</v>
      </c>
      <c r="D15" s="231">
        <v>945959.2639128865</v>
      </c>
      <c r="E15" s="231">
        <v>31082.108530367295</v>
      </c>
      <c r="F15" s="231">
        <v>176525.38714015938</v>
      </c>
      <c r="G15" s="231">
        <v>706847.6915967857</v>
      </c>
      <c r="H15" s="231">
        <f t="shared" si="0"/>
        <v>1860414.4511801987</v>
      </c>
      <c r="I15" s="238">
        <v>16</v>
      </c>
      <c r="J15" s="228" t="s">
        <v>4</v>
      </c>
      <c r="K15" s="231">
        <f t="shared" si="2"/>
        <v>116275.90319876242</v>
      </c>
    </row>
    <row r="16" spans="1:11" s="143" customFormat="1" ht="24">
      <c r="A16" s="211">
        <f t="shared" si="1"/>
        <v>12</v>
      </c>
      <c r="B16" s="338">
        <v>127</v>
      </c>
      <c r="C16" s="219" t="s">
        <v>265</v>
      </c>
      <c r="D16" s="231">
        <v>2981271.1752598016</v>
      </c>
      <c r="E16" s="231">
        <v>290702.69313492056</v>
      </c>
      <c r="F16" s="231">
        <v>2652941.6825</v>
      </c>
      <c r="G16" s="231">
        <v>374540.43623015867</v>
      </c>
      <c r="H16" s="231">
        <f t="shared" si="0"/>
        <v>6299455.987124881</v>
      </c>
      <c r="I16" s="238">
        <v>1406</v>
      </c>
      <c r="J16" s="228" t="s">
        <v>98</v>
      </c>
      <c r="K16" s="231">
        <f t="shared" si="2"/>
        <v>4480.4096636734575</v>
      </c>
    </row>
    <row r="17" spans="1:11" s="143" customFormat="1" ht="24">
      <c r="A17" s="211">
        <f t="shared" si="1"/>
        <v>13</v>
      </c>
      <c r="B17" s="338">
        <v>128</v>
      </c>
      <c r="C17" s="219" t="s">
        <v>251</v>
      </c>
      <c r="D17" s="231">
        <v>46880102.75113874</v>
      </c>
      <c r="E17" s="231">
        <v>2097629.7255801302</v>
      </c>
      <c r="F17" s="231">
        <v>1999488.7224111676</v>
      </c>
      <c r="G17" s="231">
        <v>2185027.9189666426</v>
      </c>
      <c r="H17" s="231">
        <f t="shared" si="0"/>
        <v>53162249.11809669</v>
      </c>
      <c r="I17" s="238">
        <v>118</v>
      </c>
      <c r="J17" s="228" t="s">
        <v>4</v>
      </c>
      <c r="K17" s="231">
        <f t="shared" si="2"/>
        <v>450527.53489912447</v>
      </c>
    </row>
    <row r="18" spans="1:11" s="143" customFormat="1" ht="24">
      <c r="A18" s="211">
        <f t="shared" si="1"/>
        <v>14</v>
      </c>
      <c r="B18" s="338">
        <v>129</v>
      </c>
      <c r="C18" s="219" t="s">
        <v>259</v>
      </c>
      <c r="D18" s="231">
        <v>3874921.4068574053</v>
      </c>
      <c r="E18" s="231">
        <v>28783.256746031748</v>
      </c>
      <c r="F18" s="231">
        <v>288568.985</v>
      </c>
      <c r="G18" s="231">
        <v>35973.0615079365</v>
      </c>
      <c r="H18" s="231">
        <f>SUM(D18:G18)</f>
        <v>4228246.710111373</v>
      </c>
      <c r="I18" s="238">
        <v>35</v>
      </c>
      <c r="J18" s="228" t="s">
        <v>4</v>
      </c>
      <c r="K18" s="231">
        <f t="shared" si="2"/>
        <v>120807.04886032494</v>
      </c>
    </row>
    <row r="19" spans="1:11" s="143" customFormat="1" ht="24">
      <c r="A19" s="211">
        <f t="shared" si="1"/>
        <v>15</v>
      </c>
      <c r="B19" s="338">
        <v>130</v>
      </c>
      <c r="C19" s="219" t="s">
        <v>264</v>
      </c>
      <c r="D19" s="231">
        <v>4931115.266160224</v>
      </c>
      <c r="E19" s="231">
        <v>27223.018999999993</v>
      </c>
      <c r="F19" s="231">
        <v>897981.2453333335</v>
      </c>
      <c r="G19" s="231">
        <v>1353448.0960000008</v>
      </c>
      <c r="H19" s="231">
        <f t="shared" si="0"/>
        <v>7209767.626493558</v>
      </c>
      <c r="I19" s="238">
        <v>2185</v>
      </c>
      <c r="J19" s="228" t="s">
        <v>6</v>
      </c>
      <c r="K19" s="231">
        <f t="shared" si="2"/>
        <v>3299.6648176171893</v>
      </c>
    </row>
    <row r="20" spans="1:11" s="143" customFormat="1" ht="24">
      <c r="A20" s="211">
        <f t="shared" si="1"/>
        <v>16</v>
      </c>
      <c r="B20" s="338">
        <v>131</v>
      </c>
      <c r="C20" s="219" t="s">
        <v>281</v>
      </c>
      <c r="D20" s="231">
        <v>348980.6156947906</v>
      </c>
      <c r="E20" s="231">
        <v>4514.414059299066</v>
      </c>
      <c r="F20" s="231">
        <v>72026.95028751552</v>
      </c>
      <c r="G20" s="231">
        <v>6654.687215424186</v>
      </c>
      <c r="H20" s="231">
        <f t="shared" si="0"/>
        <v>432176.6672570294</v>
      </c>
      <c r="I20" s="238">
        <v>10</v>
      </c>
      <c r="J20" s="228" t="s">
        <v>4</v>
      </c>
      <c r="K20" s="231">
        <f t="shared" si="2"/>
        <v>43217.66672570294</v>
      </c>
    </row>
    <row r="21" spans="1:11" s="143" customFormat="1" ht="24">
      <c r="A21" s="211">
        <f t="shared" si="1"/>
        <v>17</v>
      </c>
      <c r="B21" s="338">
        <v>132</v>
      </c>
      <c r="C21" s="219" t="s">
        <v>262</v>
      </c>
      <c r="D21" s="231">
        <v>123814.43171436992</v>
      </c>
      <c r="E21" s="231">
        <v>1480.213782226684</v>
      </c>
      <c r="F21" s="231">
        <v>23616.6384179413</v>
      </c>
      <c r="G21" s="231">
        <v>2181.9796773821</v>
      </c>
      <c r="H21" s="231">
        <f t="shared" si="0"/>
        <v>151093.26359192</v>
      </c>
      <c r="I21" s="238">
        <v>8</v>
      </c>
      <c r="J21" s="228" t="s">
        <v>4</v>
      </c>
      <c r="K21" s="231">
        <f t="shared" si="2"/>
        <v>18886.65794899</v>
      </c>
    </row>
    <row r="22" spans="1:11" s="143" customFormat="1" ht="24">
      <c r="A22" s="211">
        <f t="shared" si="1"/>
        <v>18</v>
      </c>
      <c r="B22" s="338">
        <v>133</v>
      </c>
      <c r="C22" s="219" t="s">
        <v>263</v>
      </c>
      <c r="D22" s="231">
        <v>363612.46244403365</v>
      </c>
      <c r="E22" s="231">
        <v>5330.673427954617</v>
      </c>
      <c r="F22" s="231">
        <v>85050.27340223233</v>
      </c>
      <c r="G22" s="231">
        <v>7857.933243305312</v>
      </c>
      <c r="H22" s="231">
        <f>SUM(D22:G22)</f>
        <v>461851.3425175259</v>
      </c>
      <c r="I22" s="238">
        <v>13</v>
      </c>
      <c r="J22" s="228" t="s">
        <v>4</v>
      </c>
      <c r="K22" s="231">
        <f t="shared" si="2"/>
        <v>35527.02634750199</v>
      </c>
    </row>
    <row r="23" spans="1:11" s="143" customFormat="1" ht="24">
      <c r="A23" s="211">
        <f t="shared" si="1"/>
        <v>19</v>
      </c>
      <c r="B23" s="338">
        <v>135</v>
      </c>
      <c r="C23" s="219" t="s">
        <v>261</v>
      </c>
      <c r="D23" s="231">
        <v>4287307.408096336</v>
      </c>
      <c r="E23" s="231">
        <v>34801.65644183375</v>
      </c>
      <c r="F23" s="231">
        <v>1099933.072676995</v>
      </c>
      <c r="G23" s="231">
        <v>42304.3347748639</v>
      </c>
      <c r="H23" s="231">
        <f t="shared" si="0"/>
        <v>5464346.471990028</v>
      </c>
      <c r="I23" s="238">
        <v>1</v>
      </c>
      <c r="J23" s="228" t="s">
        <v>4</v>
      </c>
      <c r="K23" s="231">
        <f t="shared" si="2"/>
        <v>5464346.471990028</v>
      </c>
    </row>
    <row r="24" spans="1:11" s="143" customFormat="1" ht="24">
      <c r="A24" s="211">
        <f t="shared" si="1"/>
        <v>20</v>
      </c>
      <c r="B24" s="338">
        <v>136</v>
      </c>
      <c r="C24" s="219" t="s">
        <v>260</v>
      </c>
      <c r="D24" s="231">
        <v>24027992.62348592</v>
      </c>
      <c r="E24" s="231">
        <v>23025.005396825392</v>
      </c>
      <c r="F24" s="231">
        <v>164527.49333333335</v>
      </c>
      <c r="G24" s="231">
        <v>86109.8192063492</v>
      </c>
      <c r="H24" s="231">
        <f t="shared" si="0"/>
        <v>24301654.941422425</v>
      </c>
      <c r="I24" s="238">
        <v>94</v>
      </c>
      <c r="J24" s="228" t="s">
        <v>4</v>
      </c>
      <c r="K24" s="231">
        <f t="shared" si="2"/>
        <v>258528.24405768537</v>
      </c>
    </row>
    <row r="25" spans="1:11" s="143" customFormat="1" ht="24">
      <c r="A25" s="211">
        <f t="shared" si="1"/>
        <v>21</v>
      </c>
      <c r="B25" s="338">
        <v>138</v>
      </c>
      <c r="C25" s="219" t="s">
        <v>283</v>
      </c>
      <c r="D25" s="231">
        <v>59177.071091909835</v>
      </c>
      <c r="E25" s="231">
        <v>706.7901821886257</v>
      </c>
      <c r="F25" s="231">
        <v>11276.755000206698</v>
      </c>
      <c r="G25" s="231">
        <v>1041.8777559203918</v>
      </c>
      <c r="H25" s="231">
        <f t="shared" si="0"/>
        <v>72202.49403022554</v>
      </c>
      <c r="I25" s="238">
        <v>1</v>
      </c>
      <c r="J25" s="228" t="s">
        <v>4</v>
      </c>
      <c r="K25" s="231">
        <f t="shared" si="2"/>
        <v>72202.49403022554</v>
      </c>
    </row>
    <row r="26" spans="1:11" s="143" customFormat="1" ht="24">
      <c r="A26" s="331">
        <f t="shared" si="1"/>
        <v>22</v>
      </c>
      <c r="B26" s="339">
        <v>141</v>
      </c>
      <c r="C26" s="220" t="s">
        <v>250</v>
      </c>
      <c r="D26" s="231">
        <v>8867934.076288875</v>
      </c>
      <c r="E26" s="231">
        <v>79290.43508792602</v>
      </c>
      <c r="F26" s="231">
        <v>8374845.2103003375</v>
      </c>
      <c r="G26" s="231">
        <v>1423613.40433557</v>
      </c>
      <c r="H26" s="231">
        <f t="shared" si="0"/>
        <v>18745683.12601271</v>
      </c>
      <c r="I26" s="238">
        <f>1+9</f>
        <v>10</v>
      </c>
      <c r="J26" s="228" t="s">
        <v>4</v>
      </c>
      <c r="K26" s="231">
        <f t="shared" si="2"/>
        <v>1874568.3126012709</v>
      </c>
    </row>
    <row r="27" spans="1:11" s="143" customFormat="1" ht="24">
      <c r="A27" s="211">
        <f t="shared" si="1"/>
        <v>23</v>
      </c>
      <c r="B27" s="338">
        <v>142</v>
      </c>
      <c r="C27" s="219" t="s">
        <v>285</v>
      </c>
      <c r="D27" s="231">
        <v>1982248.2934859188</v>
      </c>
      <c r="E27" s="231">
        <v>23025.005396825392</v>
      </c>
      <c r="F27" s="231">
        <v>164527.49333333335</v>
      </c>
      <c r="G27" s="231">
        <v>86109.8192063492</v>
      </c>
      <c r="H27" s="231">
        <f t="shared" si="0"/>
        <v>2255910.6114224265</v>
      </c>
      <c r="I27" s="238">
        <v>950</v>
      </c>
      <c r="J27" s="228" t="s">
        <v>6</v>
      </c>
      <c r="K27" s="231">
        <f t="shared" si="2"/>
        <v>2374.6427488657123</v>
      </c>
    </row>
    <row r="28" spans="1:11" s="143" customFormat="1" ht="72">
      <c r="A28" s="211">
        <f t="shared" si="1"/>
        <v>24</v>
      </c>
      <c r="B28" s="338">
        <v>143</v>
      </c>
      <c r="C28" s="220" t="s">
        <v>284</v>
      </c>
      <c r="D28" s="231">
        <v>22021610.2590017</v>
      </c>
      <c r="E28" s="231">
        <v>21736.772808454236</v>
      </c>
      <c r="F28" s="231">
        <v>346807.67734642414</v>
      </c>
      <c r="G28" s="231">
        <v>32042.126001942288</v>
      </c>
      <c r="H28" s="231">
        <f t="shared" si="0"/>
        <v>22422196.83515852</v>
      </c>
      <c r="I28" s="238">
        <v>16</v>
      </c>
      <c r="J28" s="228" t="s">
        <v>4</v>
      </c>
      <c r="K28" s="231">
        <f t="shared" si="2"/>
        <v>1401387.3021974075</v>
      </c>
    </row>
    <row r="29" spans="1:11" s="143" customFormat="1" ht="24">
      <c r="A29" s="211">
        <f t="shared" si="1"/>
        <v>25</v>
      </c>
      <c r="B29" s="338">
        <v>146</v>
      </c>
      <c r="C29" s="219" t="s">
        <v>313</v>
      </c>
      <c r="D29" s="231">
        <v>10276451.652615797</v>
      </c>
      <c r="E29" s="231">
        <v>54321.052558508236</v>
      </c>
      <c r="F29" s="231">
        <v>1662806.086604706</v>
      </c>
      <c r="G29" s="231">
        <v>86887.80997734425</v>
      </c>
      <c r="H29" s="231">
        <f t="shared" si="0"/>
        <v>12080466.601756357</v>
      </c>
      <c r="I29" s="238">
        <v>1</v>
      </c>
      <c r="J29" s="228" t="s">
        <v>4</v>
      </c>
      <c r="K29" s="231">
        <f t="shared" si="2"/>
        <v>12080466.601756357</v>
      </c>
    </row>
    <row r="30" spans="1:11" s="143" customFormat="1" ht="24">
      <c r="A30" s="211">
        <f t="shared" si="1"/>
        <v>26</v>
      </c>
      <c r="B30" s="338">
        <v>148</v>
      </c>
      <c r="C30" s="504" t="s">
        <v>314</v>
      </c>
      <c r="D30" s="231">
        <v>10542916.908916362</v>
      </c>
      <c r="E30" s="231">
        <v>5288.8971102248</v>
      </c>
      <c r="F30" s="231">
        <v>321392.28220812185</v>
      </c>
      <c r="G30" s="231">
        <v>7658.914053662072</v>
      </c>
      <c r="H30" s="231">
        <f t="shared" si="0"/>
        <v>10877257.002288371</v>
      </c>
      <c r="I30" s="238">
        <v>7</v>
      </c>
      <c r="J30" s="228" t="s">
        <v>4</v>
      </c>
      <c r="K30" s="231">
        <f t="shared" si="2"/>
        <v>1553893.8574697673</v>
      </c>
    </row>
    <row r="31" spans="1:11" s="143" customFormat="1" ht="24">
      <c r="A31" s="211">
        <f t="shared" si="1"/>
        <v>27</v>
      </c>
      <c r="B31" s="338">
        <v>149</v>
      </c>
      <c r="C31" s="504" t="s">
        <v>315</v>
      </c>
      <c r="D31" s="231">
        <v>92870.65589855984</v>
      </c>
      <c r="E31" s="231">
        <v>9742.705203045683</v>
      </c>
      <c r="F31" s="231">
        <v>592038.4145939086</v>
      </c>
      <c r="G31" s="231">
        <v>14108.525888324868</v>
      </c>
      <c r="H31" s="231">
        <f t="shared" si="0"/>
        <v>708760.301583839</v>
      </c>
      <c r="I31" s="238">
        <v>53</v>
      </c>
      <c r="J31" s="228" t="s">
        <v>4</v>
      </c>
      <c r="K31" s="231">
        <f t="shared" si="2"/>
        <v>13372.83587894036</v>
      </c>
    </row>
    <row r="32" spans="1:11" s="143" customFormat="1" ht="24">
      <c r="A32" s="211">
        <f t="shared" si="1"/>
        <v>28</v>
      </c>
      <c r="B32" s="338">
        <v>150</v>
      </c>
      <c r="C32" s="504" t="s">
        <v>316</v>
      </c>
      <c r="D32" s="231">
        <v>10095033.416227747</v>
      </c>
      <c r="E32" s="231">
        <v>5567.260116026105</v>
      </c>
      <c r="F32" s="231">
        <v>338307.66548223345</v>
      </c>
      <c r="G32" s="231">
        <v>8062.014793328496</v>
      </c>
      <c r="H32" s="231">
        <f t="shared" si="0"/>
        <v>10446970.356619336</v>
      </c>
      <c r="I32" s="238">
        <v>1</v>
      </c>
      <c r="J32" s="228" t="s">
        <v>4</v>
      </c>
      <c r="K32" s="231">
        <f t="shared" si="2"/>
        <v>10446970.356619336</v>
      </c>
    </row>
    <row r="33" spans="1:11" s="143" customFormat="1" ht="24">
      <c r="A33" s="211">
        <f t="shared" si="1"/>
        <v>29</v>
      </c>
      <c r="B33" s="338">
        <v>151</v>
      </c>
      <c r="C33" s="504" t="s">
        <v>317</v>
      </c>
      <c r="D33" s="231">
        <v>42308989.14042526</v>
      </c>
      <c r="E33" s="231">
        <v>3061.993063814358</v>
      </c>
      <c r="F33" s="231">
        <v>186069.21601522842</v>
      </c>
      <c r="G33" s="231">
        <v>4434.108136330673</v>
      </c>
      <c r="H33" s="231">
        <f t="shared" si="0"/>
        <v>42502554.45764063</v>
      </c>
      <c r="I33" s="238">
        <v>1</v>
      </c>
      <c r="J33" s="228" t="s">
        <v>4</v>
      </c>
      <c r="K33" s="231">
        <f t="shared" si="2"/>
        <v>42502554.45764063</v>
      </c>
    </row>
    <row r="34" spans="1:11" s="143" customFormat="1" ht="24">
      <c r="A34" s="211">
        <f t="shared" si="1"/>
        <v>30</v>
      </c>
      <c r="B34" s="338">
        <v>153</v>
      </c>
      <c r="C34" s="213" t="s">
        <v>318</v>
      </c>
      <c r="D34" s="231">
        <v>218431.69653580897</v>
      </c>
      <c r="E34" s="231">
        <v>30168.038515329703</v>
      </c>
      <c r="F34" s="231">
        <v>139227.84474287587</v>
      </c>
      <c r="G34" s="231">
        <v>706422.747076776</v>
      </c>
      <c r="H34" s="231">
        <f>SUM(D34:G34)</f>
        <v>1094250.3268707907</v>
      </c>
      <c r="I34" s="238">
        <v>1</v>
      </c>
      <c r="J34" s="228" t="s">
        <v>90</v>
      </c>
      <c r="K34" s="231">
        <f t="shared" si="2"/>
        <v>1094250.3268707907</v>
      </c>
    </row>
    <row r="35" spans="1:11" s="143" customFormat="1" ht="24">
      <c r="A35" s="211">
        <f t="shared" si="1"/>
        <v>31</v>
      </c>
      <c r="B35" s="338">
        <v>155</v>
      </c>
      <c r="C35" s="213" t="s">
        <v>319</v>
      </c>
      <c r="D35" s="231">
        <v>824641.1740686661</v>
      </c>
      <c r="E35" s="231">
        <v>10706.452428571427</v>
      </c>
      <c r="F35" s="231">
        <v>81260.62800000001</v>
      </c>
      <c r="G35" s="231">
        <v>13140.04114285714</v>
      </c>
      <c r="H35" s="231">
        <f t="shared" si="0"/>
        <v>929748.2956400947</v>
      </c>
      <c r="I35" s="238">
        <v>8</v>
      </c>
      <c r="J35" s="228" t="s">
        <v>4</v>
      </c>
      <c r="K35" s="231">
        <f t="shared" si="2"/>
        <v>116218.53695501183</v>
      </c>
    </row>
    <row r="36" spans="1:11" s="143" customFormat="1" ht="24">
      <c r="A36" s="211">
        <f t="shared" si="1"/>
        <v>32</v>
      </c>
      <c r="B36" s="338">
        <v>122</v>
      </c>
      <c r="C36" s="213" t="s">
        <v>320</v>
      </c>
      <c r="D36" s="231">
        <v>44832425.02951291</v>
      </c>
      <c r="E36" s="231">
        <v>152345.00250626568</v>
      </c>
      <c r="F36" s="231">
        <v>6216257.066213921</v>
      </c>
      <c r="G36" s="231">
        <v>70824.08666828359</v>
      </c>
      <c r="H36" s="231">
        <f t="shared" si="0"/>
        <v>51271851.18490138</v>
      </c>
      <c r="I36" s="238">
        <v>9</v>
      </c>
      <c r="J36" s="228" t="s">
        <v>4</v>
      </c>
      <c r="K36" s="231">
        <f t="shared" si="2"/>
        <v>5696872.353877931</v>
      </c>
    </row>
    <row r="37" spans="1:11" s="143" customFormat="1" ht="24">
      <c r="A37" s="214"/>
      <c r="B37" s="338"/>
      <c r="C37" s="215" t="s">
        <v>328</v>
      </c>
      <c r="D37" s="328"/>
      <c r="E37" s="328"/>
      <c r="F37" s="328"/>
      <c r="G37" s="328"/>
      <c r="H37" s="328"/>
      <c r="I37" s="239"/>
      <c r="J37" s="230"/>
      <c r="K37" s="231"/>
    </row>
    <row r="38" spans="1:11" ht="24">
      <c r="A38" s="214">
        <v>1</v>
      </c>
      <c r="B38" s="338">
        <v>100</v>
      </c>
      <c r="C38" s="213" t="s">
        <v>266</v>
      </c>
      <c r="D38" s="328">
        <v>343878.57351453626</v>
      </c>
      <c r="E38" s="328">
        <v>29045.33140873052</v>
      </c>
      <c r="F38" s="328">
        <v>172204.94625</v>
      </c>
      <c r="G38" s="328">
        <v>34174.40843253967</v>
      </c>
      <c r="H38" s="328">
        <f aca="true" t="shared" si="3" ref="H38:H53">SUM(D38:G38)</f>
        <v>579303.2596058064</v>
      </c>
      <c r="I38" s="239">
        <v>18185</v>
      </c>
      <c r="J38" s="230" t="s">
        <v>7</v>
      </c>
      <c r="K38" s="231">
        <f aca="true" t="shared" si="4" ref="K38:K52">H38/I38</f>
        <v>31.856104460038846</v>
      </c>
    </row>
    <row r="39" spans="1:11" ht="24">
      <c r="A39" s="214">
        <f>+A38+1</f>
        <v>2</v>
      </c>
      <c r="B39" s="338">
        <v>101</v>
      </c>
      <c r="C39" s="213" t="s">
        <v>267</v>
      </c>
      <c r="D39" s="328">
        <v>279890.89351453626</v>
      </c>
      <c r="E39" s="328">
        <v>29045.33140873052</v>
      </c>
      <c r="F39" s="328">
        <v>172204.94625</v>
      </c>
      <c r="G39" s="328">
        <v>34174.40843253967</v>
      </c>
      <c r="H39" s="328">
        <f t="shared" si="3"/>
        <v>515315.5796058065</v>
      </c>
      <c r="I39" s="239">
        <v>1546</v>
      </c>
      <c r="J39" s="230" t="s">
        <v>4</v>
      </c>
      <c r="K39" s="231">
        <f t="shared" si="4"/>
        <v>333.32184968034056</v>
      </c>
    </row>
    <row r="40" spans="1:11" ht="24">
      <c r="A40" s="214">
        <f aca="true" t="shared" si="5" ref="A40:A54">+A39+1</f>
        <v>3</v>
      </c>
      <c r="B40" s="338">
        <v>102</v>
      </c>
      <c r="C40" s="213" t="s">
        <v>268</v>
      </c>
      <c r="D40" s="328">
        <v>5895506.293371482</v>
      </c>
      <c r="E40" s="328">
        <v>10031.55134920635</v>
      </c>
      <c r="F40" s="328">
        <v>30093.117500000008</v>
      </c>
      <c r="G40" s="328">
        <v>7313.612301587301</v>
      </c>
      <c r="H40" s="328">
        <f>SUM(D40:G40)</f>
        <v>5942944.574522275</v>
      </c>
      <c r="I40" s="239">
        <v>447</v>
      </c>
      <c r="J40" s="230" t="s">
        <v>6</v>
      </c>
      <c r="K40" s="231">
        <f>H40/I40</f>
        <v>13295.178019065492</v>
      </c>
    </row>
    <row r="41" spans="1:11" ht="24">
      <c r="A41" s="214">
        <f t="shared" si="5"/>
        <v>4</v>
      </c>
      <c r="B41" s="338">
        <v>103</v>
      </c>
      <c r="C41" s="213" t="s">
        <v>269</v>
      </c>
      <c r="D41" s="328">
        <v>3808309.1956382096</v>
      </c>
      <c r="E41" s="328">
        <v>21735.027923280424</v>
      </c>
      <c r="F41" s="328">
        <v>65201.75458333334</v>
      </c>
      <c r="G41" s="328">
        <v>15846.159986772485</v>
      </c>
      <c r="H41" s="328">
        <f t="shared" si="3"/>
        <v>3911092.1381315957</v>
      </c>
      <c r="I41" s="239">
        <v>16356</v>
      </c>
      <c r="J41" s="230" t="s">
        <v>42</v>
      </c>
      <c r="K41" s="231">
        <f t="shared" si="4"/>
        <v>239.12277684834896</v>
      </c>
    </row>
    <row r="42" spans="1:11" ht="24">
      <c r="A42" s="214">
        <f t="shared" si="5"/>
        <v>5</v>
      </c>
      <c r="B42" s="338">
        <v>104</v>
      </c>
      <c r="C42" s="213" t="s">
        <v>270</v>
      </c>
      <c r="D42" s="328">
        <v>141598.42674296207</v>
      </c>
      <c r="E42" s="328">
        <v>11512.502698412698</v>
      </c>
      <c r="F42" s="328">
        <v>106405.15250000003</v>
      </c>
      <c r="G42" s="328">
        <v>14389.224603174604</v>
      </c>
      <c r="H42" s="328">
        <f t="shared" si="3"/>
        <v>273905.3065445494</v>
      </c>
      <c r="I42" s="239">
        <v>750</v>
      </c>
      <c r="J42" s="230" t="s">
        <v>8</v>
      </c>
      <c r="K42" s="231">
        <f t="shared" si="4"/>
        <v>365.2070753927326</v>
      </c>
    </row>
    <row r="43" spans="1:11" ht="48">
      <c r="A43" s="214">
        <f t="shared" si="5"/>
        <v>6</v>
      </c>
      <c r="B43" s="338">
        <v>105</v>
      </c>
      <c r="C43" s="220" t="s">
        <v>271</v>
      </c>
      <c r="D43" s="329">
        <v>12192044.717049787</v>
      </c>
      <c r="E43" s="329">
        <v>8535.992485549132</v>
      </c>
      <c r="F43" s="329">
        <v>65321.70138728324</v>
      </c>
      <c r="G43" s="329">
        <v>1038266.9554913287</v>
      </c>
      <c r="H43" s="329">
        <f t="shared" si="3"/>
        <v>13304169.366413947</v>
      </c>
      <c r="I43" s="332">
        <v>952</v>
      </c>
      <c r="J43" s="282" t="s">
        <v>91</v>
      </c>
      <c r="K43" s="231">
        <f t="shared" si="4"/>
        <v>13974.96782186339</v>
      </c>
    </row>
    <row r="44" spans="1:11" ht="24">
      <c r="A44" s="214">
        <f t="shared" si="5"/>
        <v>7</v>
      </c>
      <c r="B44" s="338">
        <v>106</v>
      </c>
      <c r="C44" s="213" t="s">
        <v>272</v>
      </c>
      <c r="D44" s="329">
        <v>4287342.876724041</v>
      </c>
      <c r="E44" s="329">
        <v>38411.9661849711</v>
      </c>
      <c r="F44" s="329">
        <v>293947.65624277457</v>
      </c>
      <c r="G44" s="329">
        <v>4672201.299710979</v>
      </c>
      <c r="H44" s="329">
        <f t="shared" si="3"/>
        <v>9291903.798862766</v>
      </c>
      <c r="I44" s="283">
        <v>1</v>
      </c>
      <c r="J44" s="284" t="s">
        <v>90</v>
      </c>
      <c r="K44" s="231">
        <f t="shared" si="4"/>
        <v>9291903.798862766</v>
      </c>
    </row>
    <row r="45" spans="1:11" ht="24">
      <c r="A45" s="214">
        <f t="shared" si="5"/>
        <v>8</v>
      </c>
      <c r="B45" s="338">
        <v>107</v>
      </c>
      <c r="C45" s="213" t="s">
        <v>273</v>
      </c>
      <c r="D45" s="329">
        <v>11160460.23818025</v>
      </c>
      <c r="E45" s="329">
        <v>27198.987624999998</v>
      </c>
      <c r="F45" s="329">
        <v>5070355.421250001</v>
      </c>
      <c r="G45" s="329">
        <v>37378.15237499998</v>
      </c>
      <c r="H45" s="329">
        <f>SUM(D45:G45)</f>
        <v>16295392.79943025</v>
      </c>
      <c r="I45" s="283">
        <v>1</v>
      </c>
      <c r="J45" s="284" t="s">
        <v>87</v>
      </c>
      <c r="K45" s="231">
        <f>H45/I45</f>
        <v>16295392.79943025</v>
      </c>
    </row>
    <row r="46" spans="1:11" ht="24">
      <c r="A46" s="300">
        <f t="shared" si="5"/>
        <v>9</v>
      </c>
      <c r="B46" s="343">
        <v>108</v>
      </c>
      <c r="C46" s="213" t="s">
        <v>274</v>
      </c>
      <c r="D46" s="329">
        <v>117817.62139436963</v>
      </c>
      <c r="E46" s="329">
        <v>9210.202158730159</v>
      </c>
      <c r="F46" s="329">
        <v>68590.385</v>
      </c>
      <c r="G46" s="329">
        <v>12197.443682539682</v>
      </c>
      <c r="H46" s="329">
        <f t="shared" si="3"/>
        <v>207815.65223563946</v>
      </c>
      <c r="I46" s="283">
        <v>1</v>
      </c>
      <c r="J46" s="284" t="s">
        <v>87</v>
      </c>
      <c r="K46" s="231">
        <f t="shared" si="4"/>
        <v>207815.65223563946</v>
      </c>
    </row>
    <row r="47" spans="1:11" ht="48">
      <c r="A47" s="214">
        <f t="shared" si="5"/>
        <v>10</v>
      </c>
      <c r="B47" s="338">
        <v>109</v>
      </c>
      <c r="C47" s="219" t="s">
        <v>275</v>
      </c>
      <c r="D47" s="329">
        <v>278788.864183109</v>
      </c>
      <c r="E47" s="329">
        <v>28477.95347619048</v>
      </c>
      <c r="F47" s="329">
        <v>145048.60950000002</v>
      </c>
      <c r="G47" s="329">
        <v>60554.78604761904</v>
      </c>
      <c r="H47" s="329">
        <f t="shared" si="3"/>
        <v>512870.21320691856</v>
      </c>
      <c r="I47" s="283">
        <v>57160</v>
      </c>
      <c r="J47" s="287" t="s">
        <v>88</v>
      </c>
      <c r="K47" s="231">
        <f>H47/I47</f>
        <v>8.972536970030065</v>
      </c>
    </row>
    <row r="48" spans="1:11" ht="24">
      <c r="A48" s="214">
        <f t="shared" si="5"/>
        <v>11</v>
      </c>
      <c r="B48" s="338">
        <v>110</v>
      </c>
      <c r="C48" s="213" t="s">
        <v>276</v>
      </c>
      <c r="D48" s="329">
        <v>371718.48557747854</v>
      </c>
      <c r="E48" s="329">
        <v>37970.60463492064</v>
      </c>
      <c r="F48" s="329">
        <v>193398.146</v>
      </c>
      <c r="G48" s="329">
        <v>80739.71473015872</v>
      </c>
      <c r="H48" s="329">
        <f t="shared" si="3"/>
        <v>683826.9509425579</v>
      </c>
      <c r="I48" s="283">
        <v>98942</v>
      </c>
      <c r="J48" s="284" t="s">
        <v>89</v>
      </c>
      <c r="K48" s="231">
        <f>H48/I48</f>
        <v>6.911392037178932</v>
      </c>
    </row>
    <row r="49" spans="1:11" ht="48">
      <c r="A49" s="214">
        <f t="shared" si="5"/>
        <v>12</v>
      </c>
      <c r="B49" s="338">
        <v>111</v>
      </c>
      <c r="C49" s="262" t="s">
        <v>278</v>
      </c>
      <c r="D49" s="329">
        <v>644899.6002861089</v>
      </c>
      <c r="E49" s="329">
        <v>43172.88511904762</v>
      </c>
      <c r="F49" s="329">
        <v>293110.6325</v>
      </c>
      <c r="G49" s="329">
        <v>54153.592261904756</v>
      </c>
      <c r="H49" s="329">
        <f t="shared" si="3"/>
        <v>1035336.7101670612</v>
      </c>
      <c r="I49" s="325">
        <v>10165</v>
      </c>
      <c r="J49" s="282" t="s">
        <v>100</v>
      </c>
      <c r="K49" s="231">
        <f t="shared" si="4"/>
        <v>101.85309495003061</v>
      </c>
    </row>
    <row r="50" spans="1:11" ht="24">
      <c r="A50" s="214">
        <f t="shared" si="5"/>
        <v>13</v>
      </c>
      <c r="B50" s="338">
        <v>112</v>
      </c>
      <c r="C50" s="219" t="s">
        <v>279</v>
      </c>
      <c r="D50" s="329">
        <v>2082089.7701716651</v>
      </c>
      <c r="E50" s="329">
        <v>25905.631071428565</v>
      </c>
      <c r="F50" s="329">
        <v>98794.40250000003</v>
      </c>
      <c r="G50" s="329">
        <v>64012.91035714284</v>
      </c>
      <c r="H50" s="329">
        <f t="shared" si="3"/>
        <v>2270802.7141002365</v>
      </c>
      <c r="I50" s="325">
        <f>7+34+2+51</f>
        <v>94</v>
      </c>
      <c r="J50" s="290" t="s">
        <v>4</v>
      </c>
      <c r="K50" s="231">
        <f t="shared" si="4"/>
        <v>24157.47568191741</v>
      </c>
    </row>
    <row r="51" spans="1:11" ht="24">
      <c r="A51" s="214">
        <f t="shared" si="5"/>
        <v>14</v>
      </c>
      <c r="B51" s="338">
        <v>113</v>
      </c>
      <c r="C51" s="213" t="s">
        <v>280</v>
      </c>
      <c r="D51" s="329">
        <v>177428.02674296242</v>
      </c>
      <c r="E51" s="329">
        <v>11512.502698412696</v>
      </c>
      <c r="F51" s="329">
        <v>106443.64166666668</v>
      </c>
      <c r="G51" s="329">
        <v>14389.224603174602</v>
      </c>
      <c r="H51" s="329">
        <f t="shared" si="3"/>
        <v>309773.3957112164</v>
      </c>
      <c r="I51" s="283">
        <f>690+1200+80+1000</f>
        <v>2970</v>
      </c>
      <c r="J51" s="284" t="s">
        <v>101</v>
      </c>
      <c r="K51" s="231">
        <f t="shared" si="4"/>
        <v>104.30080663677319</v>
      </c>
    </row>
    <row r="52" spans="1:11" ht="24">
      <c r="A52" s="281">
        <f t="shared" si="5"/>
        <v>15</v>
      </c>
      <c r="B52" s="339">
        <v>114</v>
      </c>
      <c r="C52" s="285" t="s">
        <v>277</v>
      </c>
      <c r="D52" s="330">
        <v>137981911.29926315</v>
      </c>
      <c r="E52" s="330">
        <v>3170796.7832859945</v>
      </c>
      <c r="F52" s="330">
        <v>23480106.82297434</v>
      </c>
      <c r="G52" s="330">
        <v>15330355.517865835</v>
      </c>
      <c r="H52" s="330">
        <f t="shared" si="3"/>
        <v>179963170.42338932</v>
      </c>
      <c r="I52" s="286">
        <v>1</v>
      </c>
      <c r="J52" s="287" t="s">
        <v>99</v>
      </c>
      <c r="K52" s="231">
        <f t="shared" si="4"/>
        <v>179963170.42338932</v>
      </c>
    </row>
    <row r="53" spans="1:11" ht="24">
      <c r="A53" s="214">
        <f t="shared" si="5"/>
        <v>16</v>
      </c>
      <c r="B53" s="338">
        <v>139</v>
      </c>
      <c r="C53" s="213" t="s">
        <v>286</v>
      </c>
      <c r="D53" s="329">
        <v>197842.04674296197</v>
      </c>
      <c r="E53" s="329">
        <v>11512.752698412698</v>
      </c>
      <c r="F53" s="329">
        <v>85737.98125</v>
      </c>
      <c r="G53" s="329">
        <v>15246.804603174602</v>
      </c>
      <c r="H53" s="329">
        <f t="shared" si="3"/>
        <v>310339.5852945493</v>
      </c>
      <c r="I53" s="283">
        <v>1</v>
      </c>
      <c r="J53" s="284" t="s">
        <v>87</v>
      </c>
      <c r="K53" s="231">
        <f aca="true" t="shared" si="6" ref="K53:K59">H53/I53</f>
        <v>310339.5852945493</v>
      </c>
    </row>
    <row r="54" spans="1:11" ht="24">
      <c r="A54" s="214">
        <f t="shared" si="5"/>
        <v>17</v>
      </c>
      <c r="B54" s="338">
        <v>140</v>
      </c>
      <c r="C54" s="219" t="s">
        <v>287</v>
      </c>
      <c r="D54" s="329">
        <v>23232.40534859241</v>
      </c>
      <c r="E54" s="329">
        <v>2302.5505396825397</v>
      </c>
      <c r="F54" s="329">
        <v>17147.59625</v>
      </c>
      <c r="G54" s="329">
        <v>3049.3609206349206</v>
      </c>
      <c r="H54" s="329">
        <f aca="true" t="shared" si="7" ref="H54:H59">SUM(D54:G54)</f>
        <v>45731.913058909864</v>
      </c>
      <c r="I54" s="325">
        <v>25</v>
      </c>
      <c r="J54" s="282" t="s">
        <v>87</v>
      </c>
      <c r="K54" s="231">
        <f t="shared" si="6"/>
        <v>1829.2765223563945</v>
      </c>
    </row>
    <row r="55" spans="1:11" ht="24">
      <c r="A55" s="341"/>
      <c r="B55" s="344">
        <v>144</v>
      </c>
      <c r="C55" s="342" t="s">
        <v>34</v>
      </c>
      <c r="D55" s="329">
        <v>275387519.69000006</v>
      </c>
      <c r="E55" s="329">
        <v>0</v>
      </c>
      <c r="F55" s="329">
        <v>0</v>
      </c>
      <c r="G55" s="329">
        <v>0</v>
      </c>
      <c r="H55" s="329">
        <f t="shared" si="7"/>
        <v>275387519.69000006</v>
      </c>
      <c r="I55" s="325">
        <v>453</v>
      </c>
      <c r="J55" s="282" t="s">
        <v>325</v>
      </c>
      <c r="K55" s="231">
        <f t="shared" si="6"/>
        <v>607919.4695143489</v>
      </c>
    </row>
    <row r="56" spans="1:11" ht="24">
      <c r="A56" s="341"/>
      <c r="B56" s="344">
        <v>156</v>
      </c>
      <c r="C56" s="342" t="s">
        <v>321</v>
      </c>
      <c r="D56" s="329">
        <v>49352.0749457092</v>
      </c>
      <c r="E56" s="329">
        <v>4979.32894990366</v>
      </c>
      <c r="F56" s="329">
        <v>38104.325809248556</v>
      </c>
      <c r="G56" s="329">
        <v>605655.7240366084</v>
      </c>
      <c r="H56" s="329">
        <f t="shared" si="7"/>
        <v>698091.4537414698</v>
      </c>
      <c r="I56" s="325">
        <v>1</v>
      </c>
      <c r="J56" s="282" t="s">
        <v>4</v>
      </c>
      <c r="K56" s="231">
        <f t="shared" si="6"/>
        <v>698091.4537414698</v>
      </c>
    </row>
    <row r="57" spans="1:11" ht="72">
      <c r="A57" s="341"/>
      <c r="B57" s="344">
        <v>157</v>
      </c>
      <c r="C57" s="342" t="s">
        <v>322</v>
      </c>
      <c r="D57" s="329">
        <v>392046.8402575003</v>
      </c>
      <c r="E57" s="329">
        <v>38855.696607142854</v>
      </c>
      <c r="F57" s="329">
        <v>7243364.887500001</v>
      </c>
      <c r="G57" s="329">
        <v>53397.360535714266</v>
      </c>
      <c r="H57" s="329">
        <f t="shared" si="7"/>
        <v>7727664.784900358</v>
      </c>
      <c r="I57" s="325">
        <v>888514400</v>
      </c>
      <c r="J57" s="282" t="s">
        <v>326</v>
      </c>
      <c r="K57" s="231">
        <f t="shared" si="6"/>
        <v>0.008697287050047088</v>
      </c>
    </row>
    <row r="58" spans="1:11" ht="24">
      <c r="A58" s="341"/>
      <c r="B58" s="344">
        <v>158</v>
      </c>
      <c r="C58" s="342" t="s">
        <v>323</v>
      </c>
      <c r="D58" s="329">
        <v>817538.6341831089</v>
      </c>
      <c r="E58" s="329">
        <v>28477.95347619048</v>
      </c>
      <c r="F58" s="329">
        <v>145048.60950000002</v>
      </c>
      <c r="G58" s="329">
        <v>60554.78604761904</v>
      </c>
      <c r="H58" s="329">
        <f t="shared" si="7"/>
        <v>1051619.9832069185</v>
      </c>
      <c r="I58" s="325">
        <v>369</v>
      </c>
      <c r="J58" s="282" t="s">
        <v>4</v>
      </c>
      <c r="K58" s="231">
        <f t="shared" si="6"/>
        <v>2849.918653677286</v>
      </c>
    </row>
    <row r="59" spans="1:11" ht="24">
      <c r="A59" s="341"/>
      <c r="B59" s="344">
        <v>159</v>
      </c>
      <c r="C59" s="342" t="s">
        <v>324</v>
      </c>
      <c r="D59" s="329">
        <v>9680.16889524684</v>
      </c>
      <c r="E59" s="329">
        <v>1671.9252248677249</v>
      </c>
      <c r="F59" s="329">
        <v>5015.519583333334</v>
      </c>
      <c r="G59" s="329">
        <v>1218.9353835978834</v>
      </c>
      <c r="H59" s="329">
        <f t="shared" si="7"/>
        <v>17586.549087045783</v>
      </c>
      <c r="I59" s="325">
        <v>1</v>
      </c>
      <c r="J59" s="282" t="s">
        <v>327</v>
      </c>
      <c r="K59" s="231">
        <f t="shared" si="6"/>
        <v>17586.549087045783</v>
      </c>
    </row>
    <row r="60" spans="1:11" ht="24.75" thickBot="1">
      <c r="A60" s="217"/>
      <c r="B60" s="345"/>
      <c r="C60" s="216" t="s">
        <v>27</v>
      </c>
      <c r="D60" s="233">
        <f>SUM(D5:D59)</f>
        <v>729578019.57</v>
      </c>
      <c r="E60" s="233">
        <f>SUM(E5:E59)</f>
        <v>6699652.060000003</v>
      </c>
      <c r="F60" s="233">
        <f>SUM(F5:F59)</f>
        <v>71232699.16</v>
      </c>
      <c r="G60" s="233">
        <f>SUM(G5:G59)</f>
        <v>29570384.169999987</v>
      </c>
      <c r="H60" s="233">
        <f>SUM(H5:H59)</f>
        <v>837080754.9599999</v>
      </c>
      <c r="I60" s="240"/>
      <c r="J60" s="232"/>
      <c r="K60" s="233"/>
    </row>
    <row r="61" ht="24.75" thickTop="1"/>
    <row r="63" spans="4:8" ht="24">
      <c r="D63" s="235">
        <v>729578019.57</v>
      </c>
      <c r="E63" s="235">
        <v>6699652.0600000005</v>
      </c>
      <c r="F63" s="235">
        <v>71232699.15999998</v>
      </c>
      <c r="G63" s="235">
        <v>29570384.16999999</v>
      </c>
      <c r="H63" s="235">
        <v>837080754.96</v>
      </c>
    </row>
    <row r="64" spans="4:8" ht="24">
      <c r="D64" s="235">
        <f>+D60-D63</f>
        <v>0</v>
      </c>
      <c r="E64" s="235">
        <f>+E60-E63</f>
        <v>0</v>
      </c>
      <c r="F64" s="235">
        <f>+F60-F63</f>
        <v>0</v>
      </c>
      <c r="G64" s="235">
        <f>+G60-G63</f>
        <v>0</v>
      </c>
      <c r="H64" s="235">
        <f>+H60-H63</f>
        <v>0</v>
      </c>
    </row>
  </sheetData>
  <sheetProtection/>
  <printOptions horizontalCentered="1"/>
  <pageMargins left="0.419291339" right="0.222440945" top="0.340551181" bottom="0.340551181" header="0.511811023622047" footer="0.511811023622047"/>
  <pageSetup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31" zoomScalePageLayoutView="0" workbookViewId="0" topLeftCell="A1">
      <selection activeCell="B15" sqref="B15"/>
    </sheetView>
  </sheetViews>
  <sheetFormatPr defaultColWidth="9.140625" defaultRowHeight="12.75"/>
  <cols>
    <col min="1" max="1" width="3.8515625" style="28" customWidth="1"/>
    <col min="2" max="2" width="40.8515625" style="56" customWidth="1"/>
    <col min="3" max="3" width="21.28125" style="54" customWidth="1"/>
    <col min="4" max="4" width="19.140625" style="54" customWidth="1"/>
    <col min="5" max="5" width="21.00390625" style="54" customWidth="1"/>
    <col min="6" max="6" width="20.00390625" style="54" customWidth="1"/>
    <col min="7" max="7" width="20.8515625" style="54" customWidth="1"/>
    <col min="8" max="8" width="13.28125" style="54" customWidth="1"/>
    <col min="9" max="9" width="9.8515625" style="54" bestFit="1" customWidth="1"/>
    <col min="10" max="10" width="20.8515625" style="118" customWidth="1"/>
    <col min="11" max="16384" width="9.140625" style="28" customWidth="1"/>
  </cols>
  <sheetData>
    <row r="1" spans="2:10" s="43" customFormat="1" ht="24">
      <c r="B1" s="13" t="s">
        <v>188</v>
      </c>
      <c r="C1" s="24"/>
      <c r="D1" s="24"/>
      <c r="E1" s="24"/>
      <c r="F1" s="24"/>
      <c r="G1" s="24"/>
      <c r="H1" s="24"/>
      <c r="I1" s="24"/>
      <c r="J1" s="116"/>
    </row>
    <row r="2" spans="2:10" s="43" customFormat="1" ht="24">
      <c r="B2" s="13"/>
      <c r="C2" s="24"/>
      <c r="D2" s="24"/>
      <c r="E2" s="24"/>
      <c r="F2" s="24"/>
      <c r="G2" s="24"/>
      <c r="H2" s="24"/>
      <c r="I2" s="24"/>
      <c r="J2" s="116"/>
    </row>
    <row r="3" spans="2:10" s="43" customFormat="1" ht="24">
      <c r="B3" s="13"/>
      <c r="C3" s="24"/>
      <c r="D3" s="24"/>
      <c r="E3" s="24"/>
      <c r="F3" s="24"/>
      <c r="G3" s="24"/>
      <c r="H3" s="24"/>
      <c r="I3" s="24"/>
      <c r="J3" s="117" t="s">
        <v>17</v>
      </c>
    </row>
    <row r="4" spans="1:10" s="45" customFormat="1" ht="24">
      <c r="A4" s="533"/>
      <c r="B4" s="210" t="s">
        <v>13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5" t="s">
        <v>12</v>
      </c>
    </row>
    <row r="5" spans="1:10" s="24" customFormat="1" ht="48">
      <c r="A5" s="535">
        <v>1</v>
      </c>
      <c r="B5" s="531" t="s">
        <v>343</v>
      </c>
      <c r="C5" s="33">
        <v>232334859.68</v>
      </c>
      <c r="D5" s="243">
        <v>1577914.8199999998</v>
      </c>
      <c r="E5" s="33">
        <v>57038187.86999998</v>
      </c>
      <c r="F5" s="33">
        <v>9135514.059999999</v>
      </c>
      <c r="G5" s="33">
        <f>SUM(C5:F5)</f>
        <v>300086476.43</v>
      </c>
      <c r="H5" s="19">
        <v>65</v>
      </c>
      <c r="I5" s="34" t="s">
        <v>4</v>
      </c>
      <c r="J5" s="33">
        <f aca="true" t="shared" si="0" ref="J5:J12">G5/H5</f>
        <v>4616715.022</v>
      </c>
    </row>
    <row r="6" spans="1:10" s="24" customFormat="1" ht="24">
      <c r="A6" s="535">
        <f>+A5+1</f>
        <v>2</v>
      </c>
      <c r="B6" s="530" t="s">
        <v>338</v>
      </c>
      <c r="C6" s="33">
        <v>267638932.5</v>
      </c>
      <c r="D6" s="243">
        <v>3237329.21</v>
      </c>
      <c r="E6" s="33">
        <v>1385679.91</v>
      </c>
      <c r="F6" s="33">
        <v>4026118.55</v>
      </c>
      <c r="G6" s="33">
        <f aca="true" t="shared" si="1" ref="G6:G12">SUM(C6:F6)</f>
        <v>276288060.17</v>
      </c>
      <c r="H6" s="19">
        <v>121</v>
      </c>
      <c r="I6" s="34" t="s">
        <v>4</v>
      </c>
      <c r="J6" s="33">
        <f t="shared" si="0"/>
        <v>2283372.398099174</v>
      </c>
    </row>
    <row r="7" spans="1:10" s="24" customFormat="1" ht="48">
      <c r="A7" s="535">
        <f aca="true" t="shared" si="2" ref="A7:A12">+A6+1</f>
        <v>3</v>
      </c>
      <c r="B7" s="530" t="s">
        <v>339</v>
      </c>
      <c r="C7" s="33">
        <v>11512630.08</v>
      </c>
      <c r="D7" s="243">
        <v>61984.97</v>
      </c>
      <c r="E7" s="33">
        <v>724862.14</v>
      </c>
      <c r="F7" s="33">
        <v>88286.84</v>
      </c>
      <c r="G7" s="33">
        <f t="shared" si="1"/>
        <v>12387764.030000001</v>
      </c>
      <c r="H7" s="238">
        <v>35</v>
      </c>
      <c r="I7" s="34" t="s">
        <v>4</v>
      </c>
      <c r="J7" s="33">
        <f t="shared" si="0"/>
        <v>353936.1151428572</v>
      </c>
    </row>
    <row r="8" spans="1:10" s="24" customFormat="1" ht="24">
      <c r="A8" s="535">
        <f t="shared" si="2"/>
        <v>4</v>
      </c>
      <c r="B8" s="530" t="s">
        <v>340</v>
      </c>
      <c r="C8" s="33">
        <v>24447111.38</v>
      </c>
      <c r="D8" s="243">
        <v>38742.61</v>
      </c>
      <c r="E8" s="33">
        <v>1367879.99</v>
      </c>
      <c r="F8" s="33">
        <v>2305000.01</v>
      </c>
      <c r="G8" s="33">
        <f t="shared" si="1"/>
        <v>28158733.989999995</v>
      </c>
      <c r="H8" s="238">
        <v>2365</v>
      </c>
      <c r="I8" s="34" t="s">
        <v>6</v>
      </c>
      <c r="J8" s="33">
        <f t="shared" si="0"/>
        <v>11906.441433403803</v>
      </c>
    </row>
    <row r="9" spans="1:10" s="24" customFormat="1" ht="24">
      <c r="A9" s="535">
        <f t="shared" si="2"/>
        <v>5</v>
      </c>
      <c r="B9" s="530" t="s">
        <v>342</v>
      </c>
      <c r="C9" s="33">
        <v>28479217.91</v>
      </c>
      <c r="D9" s="243">
        <v>98150.87</v>
      </c>
      <c r="E9" s="33">
        <v>921729.1000000001</v>
      </c>
      <c r="F9" s="33">
        <v>13105966.940000001</v>
      </c>
      <c r="G9" s="33">
        <f t="shared" si="1"/>
        <v>42605064.82000001</v>
      </c>
      <c r="H9" s="19">
        <v>1</v>
      </c>
      <c r="I9" s="34" t="s">
        <v>87</v>
      </c>
      <c r="J9" s="33">
        <f t="shared" si="0"/>
        <v>42605064.82000001</v>
      </c>
    </row>
    <row r="10" spans="1:10" s="24" customFormat="1" ht="24">
      <c r="A10" s="535">
        <f>+A9+1</f>
        <v>6</v>
      </c>
      <c r="B10" s="531" t="s">
        <v>341</v>
      </c>
      <c r="C10" s="166">
        <v>21916883.95</v>
      </c>
      <c r="D10" s="244">
        <v>61984.97</v>
      </c>
      <c r="E10" s="166">
        <v>632948.28</v>
      </c>
      <c r="F10" s="166">
        <v>260280.97</v>
      </c>
      <c r="G10" s="33">
        <f t="shared" si="1"/>
        <v>22872098.169999998</v>
      </c>
      <c r="H10" s="238">
        <v>68</v>
      </c>
      <c r="I10" s="34" t="s">
        <v>4</v>
      </c>
      <c r="J10" s="166">
        <f t="shared" si="0"/>
        <v>336354.38485294115</v>
      </c>
    </row>
    <row r="11" spans="1:10" s="24" customFormat="1" ht="24">
      <c r="A11" s="535">
        <f t="shared" si="2"/>
        <v>7</v>
      </c>
      <c r="B11" s="531" t="s">
        <v>382</v>
      </c>
      <c r="C11" s="166">
        <v>23175425.990000002</v>
      </c>
      <c r="D11" s="244">
        <v>56820.56</v>
      </c>
      <c r="E11" s="166">
        <v>352799.03</v>
      </c>
      <c r="F11" s="166">
        <v>81988.15000000001</v>
      </c>
      <c r="G11" s="33">
        <f t="shared" si="1"/>
        <v>23667033.73</v>
      </c>
      <c r="H11" s="164">
        <v>15</v>
      </c>
      <c r="I11" s="167" t="s">
        <v>4</v>
      </c>
      <c r="J11" s="166">
        <f t="shared" si="0"/>
        <v>1577802.2486666667</v>
      </c>
    </row>
    <row r="12" spans="1:10" s="24" customFormat="1" ht="48">
      <c r="A12" s="535">
        <f t="shared" si="2"/>
        <v>8</v>
      </c>
      <c r="B12" s="531" t="s">
        <v>383</v>
      </c>
      <c r="C12" s="166">
        <v>41407416.83</v>
      </c>
      <c r="D12" s="244">
        <v>93840.19</v>
      </c>
      <c r="E12" s="166">
        <v>43961782.61</v>
      </c>
      <c r="F12" s="166">
        <v>182966.73</v>
      </c>
      <c r="G12" s="33">
        <f t="shared" si="1"/>
        <v>85646006.36</v>
      </c>
      <c r="H12" s="164">
        <v>13</v>
      </c>
      <c r="I12" s="167" t="s">
        <v>4</v>
      </c>
      <c r="J12" s="166">
        <f t="shared" si="0"/>
        <v>6588154.335384616</v>
      </c>
    </row>
    <row r="13" spans="1:10" s="24" customFormat="1" ht="24.75" thickBot="1">
      <c r="A13" s="552"/>
      <c r="B13" s="532" t="s">
        <v>27</v>
      </c>
      <c r="C13" s="36">
        <f>SUM(C5:C12)</f>
        <v>650912478.32</v>
      </c>
      <c r="D13" s="36">
        <f>SUM(D5:D12)</f>
        <v>5226768.199999999</v>
      </c>
      <c r="E13" s="36">
        <f>SUM(E5:E12)</f>
        <v>106385868.92999998</v>
      </c>
      <c r="F13" s="36">
        <f>SUM(F5:F12)</f>
        <v>29186122.249999996</v>
      </c>
      <c r="G13" s="36">
        <f>SUM(G5:G12)</f>
        <v>791711237.7</v>
      </c>
      <c r="H13" s="37"/>
      <c r="I13" s="37"/>
      <c r="J13" s="37"/>
    </row>
    <row r="14" spans="2:10" s="43" customFormat="1" ht="24.75" thickTop="1">
      <c r="B14" s="47"/>
      <c r="C14" s="46"/>
      <c r="D14" s="48"/>
      <c r="E14" s="39"/>
      <c r="F14" s="39"/>
      <c r="G14" s="39"/>
      <c r="H14" s="39"/>
      <c r="I14" s="39"/>
      <c r="J14" s="116"/>
    </row>
  </sheetData>
  <sheetProtection/>
  <printOptions horizontalCentered="1"/>
  <pageMargins left="0" right="0" top="0.590551181102362" bottom="0" header="0.511811023622047" footer="0.511811023622047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31" zoomScalePageLayoutView="0" workbookViewId="0" topLeftCell="A1">
      <selection activeCell="B15" sqref="B15"/>
    </sheetView>
  </sheetViews>
  <sheetFormatPr defaultColWidth="9.140625" defaultRowHeight="12.75"/>
  <cols>
    <col min="1" max="1" width="3.8515625" style="28" customWidth="1"/>
    <col min="2" max="2" width="40.8515625" style="56" customWidth="1"/>
    <col min="3" max="3" width="21.28125" style="54" customWidth="1"/>
    <col min="4" max="4" width="19.140625" style="54" customWidth="1"/>
    <col min="5" max="5" width="21.00390625" style="54" customWidth="1"/>
    <col min="6" max="6" width="20.00390625" style="54" customWidth="1"/>
    <col min="7" max="7" width="20.8515625" style="54" customWidth="1"/>
    <col min="8" max="8" width="13.28125" style="54" customWidth="1"/>
    <col min="9" max="9" width="9.8515625" style="54" bestFit="1" customWidth="1"/>
    <col min="10" max="10" width="20.8515625" style="118" customWidth="1"/>
    <col min="11" max="16384" width="9.140625" style="28" customWidth="1"/>
  </cols>
  <sheetData>
    <row r="1" spans="2:10" s="43" customFormat="1" ht="24">
      <c r="B1" s="13" t="s">
        <v>187</v>
      </c>
      <c r="C1" s="24"/>
      <c r="D1" s="24"/>
      <c r="E1" s="24"/>
      <c r="F1" s="24"/>
      <c r="G1" s="24"/>
      <c r="H1" s="24"/>
      <c r="I1" s="24"/>
      <c r="J1" s="116"/>
    </row>
    <row r="2" spans="2:10" s="43" customFormat="1" ht="24">
      <c r="B2" s="13"/>
      <c r="C2" s="24"/>
      <c r="D2" s="24"/>
      <c r="E2" s="24"/>
      <c r="F2" s="24"/>
      <c r="G2" s="24"/>
      <c r="H2" s="24"/>
      <c r="I2" s="24"/>
      <c r="J2" s="116"/>
    </row>
    <row r="3" spans="2:10" s="43" customFormat="1" ht="24">
      <c r="B3" s="13"/>
      <c r="C3" s="24"/>
      <c r="D3" s="24"/>
      <c r="E3" s="24"/>
      <c r="F3" s="24"/>
      <c r="G3" s="24"/>
      <c r="H3" s="24"/>
      <c r="I3" s="24"/>
      <c r="J3" s="117" t="s">
        <v>17</v>
      </c>
    </row>
    <row r="4" spans="1:10" s="45" customFormat="1" ht="24">
      <c r="A4" s="533"/>
      <c r="B4" s="210" t="s">
        <v>19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5" t="s">
        <v>12</v>
      </c>
    </row>
    <row r="5" spans="1:10" s="24" customFormat="1" ht="24">
      <c r="A5" s="535">
        <v>1</v>
      </c>
      <c r="B5" s="531" t="s">
        <v>345</v>
      </c>
      <c r="C5" s="33">
        <v>269118550.1</v>
      </c>
      <c r="D5" s="187">
        <v>0</v>
      </c>
      <c r="E5" s="33">
        <v>5471223.6899999995</v>
      </c>
      <c r="F5" s="187">
        <v>0</v>
      </c>
      <c r="G5" s="33">
        <f>SUM(C5:F5)</f>
        <v>274589773.79</v>
      </c>
      <c r="H5" s="19">
        <v>450</v>
      </c>
      <c r="I5" s="34" t="s">
        <v>6</v>
      </c>
      <c r="J5" s="33">
        <f aca="true" t="shared" si="0" ref="J5:J14">G5/H5</f>
        <v>610199.4973111112</v>
      </c>
    </row>
    <row r="6" spans="1:10" s="24" customFormat="1" ht="24">
      <c r="A6" s="535">
        <f>+A5+1</f>
        <v>2</v>
      </c>
      <c r="B6" s="531" t="s">
        <v>344</v>
      </c>
      <c r="C6" s="33">
        <v>98934784.05</v>
      </c>
      <c r="D6" s="243">
        <v>1509900.19</v>
      </c>
      <c r="E6" s="33">
        <v>51844928.95</v>
      </c>
      <c r="F6" s="33">
        <v>6780287.22</v>
      </c>
      <c r="G6" s="33">
        <f aca="true" t="shared" si="1" ref="G6:G14">SUM(C6:F6)</f>
        <v>159069900.41</v>
      </c>
      <c r="H6" s="19">
        <f>404+59</f>
        <v>463</v>
      </c>
      <c r="I6" s="34" t="s">
        <v>5</v>
      </c>
      <c r="J6" s="33">
        <f t="shared" si="0"/>
        <v>343563.4998056155</v>
      </c>
    </row>
    <row r="7" spans="1:10" s="24" customFormat="1" ht="24">
      <c r="A7" s="535">
        <f>+A6+1</f>
        <v>3</v>
      </c>
      <c r="B7" s="530" t="s">
        <v>338</v>
      </c>
      <c r="C7" s="33">
        <v>155309807.76</v>
      </c>
      <c r="D7" s="243">
        <v>3237329.2</v>
      </c>
      <c r="E7" s="33">
        <v>923665.91</v>
      </c>
      <c r="F7" s="33">
        <v>4026118.55</v>
      </c>
      <c r="G7" s="33">
        <f t="shared" si="1"/>
        <v>163496921.42</v>
      </c>
      <c r="H7" s="19">
        <v>121</v>
      </c>
      <c r="I7" s="34" t="s">
        <v>4</v>
      </c>
      <c r="J7" s="33">
        <f t="shared" si="0"/>
        <v>1351214.2266115702</v>
      </c>
    </row>
    <row r="8" spans="1:10" s="24" customFormat="1" ht="48">
      <c r="A8" s="535">
        <f aca="true" t="shared" si="2" ref="A8:A14">+A7+1</f>
        <v>4</v>
      </c>
      <c r="B8" s="530" t="s">
        <v>339</v>
      </c>
      <c r="C8" s="33">
        <v>6651493.41</v>
      </c>
      <c r="D8" s="243">
        <v>61984.97</v>
      </c>
      <c r="E8" s="33">
        <v>527388.14</v>
      </c>
      <c r="F8" s="33">
        <v>88286.84</v>
      </c>
      <c r="G8" s="33">
        <f t="shared" si="1"/>
        <v>7329153.359999999</v>
      </c>
      <c r="H8" s="238">
        <v>35</v>
      </c>
      <c r="I8" s="34" t="s">
        <v>4</v>
      </c>
      <c r="J8" s="33">
        <f t="shared" si="0"/>
        <v>209404.3817142857</v>
      </c>
    </row>
    <row r="9" spans="1:10" s="24" customFormat="1" ht="24">
      <c r="A9" s="535">
        <f t="shared" si="2"/>
        <v>5</v>
      </c>
      <c r="B9" s="530" t="s">
        <v>340</v>
      </c>
      <c r="C9" s="33">
        <v>9229160.14</v>
      </c>
      <c r="D9" s="243">
        <v>38742.61</v>
      </c>
      <c r="E9" s="33">
        <v>1048788.62</v>
      </c>
      <c r="F9" s="33">
        <v>2305000.01</v>
      </c>
      <c r="G9" s="33">
        <f t="shared" si="1"/>
        <v>12621691.38</v>
      </c>
      <c r="H9" s="238">
        <v>2365</v>
      </c>
      <c r="I9" s="34" t="s">
        <v>6</v>
      </c>
      <c r="J9" s="33">
        <f t="shared" si="0"/>
        <v>5336.867391120508</v>
      </c>
    </row>
    <row r="10" spans="1:10" s="24" customFormat="1" ht="24">
      <c r="A10" s="535">
        <f t="shared" si="2"/>
        <v>6</v>
      </c>
      <c r="B10" s="530" t="s">
        <v>342</v>
      </c>
      <c r="C10" s="33">
        <v>20554656.54</v>
      </c>
      <c r="D10" s="243">
        <v>98150.87</v>
      </c>
      <c r="E10" s="33">
        <v>633498.1000000001</v>
      </c>
      <c r="F10" s="33">
        <v>13105966.940000001</v>
      </c>
      <c r="G10" s="33">
        <f t="shared" si="1"/>
        <v>34392272.45</v>
      </c>
      <c r="H10" s="19">
        <v>1</v>
      </c>
      <c r="I10" s="34" t="s">
        <v>87</v>
      </c>
      <c r="J10" s="33">
        <f t="shared" si="0"/>
        <v>34392272.45</v>
      </c>
    </row>
    <row r="11" spans="1:10" s="24" customFormat="1" ht="48">
      <c r="A11" s="535">
        <f t="shared" si="2"/>
        <v>7</v>
      </c>
      <c r="B11" s="531" t="s">
        <v>346</v>
      </c>
      <c r="C11" s="166">
        <v>19617801.72</v>
      </c>
      <c r="D11" s="244">
        <v>68014.63</v>
      </c>
      <c r="E11" s="166">
        <v>1503834.49</v>
      </c>
      <c r="F11" s="166">
        <v>2355226.83</v>
      </c>
      <c r="G11" s="33">
        <f t="shared" si="1"/>
        <v>23544877.669999994</v>
      </c>
      <c r="H11" s="164">
        <v>65</v>
      </c>
      <c r="I11" s="34" t="s">
        <v>4</v>
      </c>
      <c r="J11" s="166">
        <f t="shared" si="0"/>
        <v>362228.88723076915</v>
      </c>
    </row>
    <row r="12" spans="1:10" s="24" customFormat="1" ht="24">
      <c r="A12" s="535">
        <f t="shared" si="2"/>
        <v>8</v>
      </c>
      <c r="B12" s="531" t="s">
        <v>341</v>
      </c>
      <c r="C12" s="166">
        <v>16692082.02</v>
      </c>
      <c r="D12" s="244">
        <v>61984.97</v>
      </c>
      <c r="E12" s="166">
        <v>430801.77</v>
      </c>
      <c r="F12" s="166">
        <v>260280.97</v>
      </c>
      <c r="G12" s="33">
        <f t="shared" si="1"/>
        <v>17445149.73</v>
      </c>
      <c r="H12" s="238">
        <v>68</v>
      </c>
      <c r="I12" s="34" t="s">
        <v>4</v>
      </c>
      <c r="J12" s="166">
        <f t="shared" si="0"/>
        <v>256546.31955882354</v>
      </c>
    </row>
    <row r="13" spans="1:10" s="24" customFormat="1" ht="24">
      <c r="A13" s="535">
        <f t="shared" si="2"/>
        <v>9</v>
      </c>
      <c r="B13" s="531" t="s">
        <v>382</v>
      </c>
      <c r="C13" s="166">
        <v>19569631.14</v>
      </c>
      <c r="D13" s="244">
        <v>56820.56</v>
      </c>
      <c r="E13" s="166">
        <v>256239.32</v>
      </c>
      <c r="F13" s="166">
        <v>81988.15000000001</v>
      </c>
      <c r="G13" s="33">
        <f t="shared" si="1"/>
        <v>19964679.169999998</v>
      </c>
      <c r="H13" s="164">
        <v>15</v>
      </c>
      <c r="I13" s="167" t="s">
        <v>4</v>
      </c>
      <c r="J13" s="166">
        <f t="shared" si="0"/>
        <v>1330978.6113333332</v>
      </c>
    </row>
    <row r="14" spans="1:10" s="24" customFormat="1" ht="48">
      <c r="A14" s="535">
        <f t="shared" si="2"/>
        <v>10</v>
      </c>
      <c r="B14" s="531" t="s">
        <v>383</v>
      </c>
      <c r="C14" s="166">
        <v>35234511.44</v>
      </c>
      <c r="D14" s="244">
        <v>93840.2</v>
      </c>
      <c r="E14" s="166">
        <v>43745499.940000005</v>
      </c>
      <c r="F14" s="166">
        <v>182966.74</v>
      </c>
      <c r="G14" s="33">
        <f t="shared" si="1"/>
        <v>79256818.32000001</v>
      </c>
      <c r="H14" s="164">
        <v>13</v>
      </c>
      <c r="I14" s="167" t="s">
        <v>4</v>
      </c>
      <c r="J14" s="166">
        <f t="shared" si="0"/>
        <v>6096678.332307693</v>
      </c>
    </row>
    <row r="15" spans="1:10" s="24" customFormat="1" ht="24.75" thickBot="1">
      <c r="A15" s="534"/>
      <c r="B15" s="532" t="s">
        <v>27</v>
      </c>
      <c r="C15" s="36">
        <f>SUM(C5:C14)</f>
        <v>650912478.3199999</v>
      </c>
      <c r="D15" s="36">
        <f>SUM(D5:D14)</f>
        <v>5226768.2</v>
      </c>
      <c r="E15" s="36">
        <f>SUM(E5:E14)</f>
        <v>106385868.93</v>
      </c>
      <c r="F15" s="36">
        <f>SUM(F5:F14)</f>
        <v>29186122.249999996</v>
      </c>
      <c r="G15" s="36">
        <f>SUM(G5:G14)</f>
        <v>791711237.7</v>
      </c>
      <c r="H15" s="37"/>
      <c r="I15" s="37"/>
      <c r="J15" s="37"/>
    </row>
    <row r="16" spans="2:10" s="43" customFormat="1" ht="24.75" thickTop="1">
      <c r="B16" s="47"/>
      <c r="C16" s="46"/>
      <c r="D16" s="48"/>
      <c r="E16" s="39"/>
      <c r="F16" s="39"/>
      <c r="G16" s="39"/>
      <c r="H16" s="39"/>
      <c r="I16" s="39"/>
      <c r="J16" s="116"/>
    </row>
  </sheetData>
  <sheetProtection/>
  <printOptions horizontalCentered="1"/>
  <pageMargins left="0" right="0" top="0.590551181102362" bottom="0" header="0.511811023622047" footer="0.511811023622047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31" zoomScalePageLayoutView="0" workbookViewId="0" topLeftCell="A1">
      <selection activeCell="B15" sqref="B15"/>
    </sheetView>
  </sheetViews>
  <sheetFormatPr defaultColWidth="9.140625" defaultRowHeight="12.75"/>
  <cols>
    <col min="1" max="1" width="3.8515625" style="28" customWidth="1"/>
    <col min="2" max="2" width="40.8515625" style="56" customWidth="1"/>
    <col min="3" max="3" width="21.28125" style="54" customWidth="1"/>
    <col min="4" max="4" width="19.140625" style="54" customWidth="1"/>
    <col min="5" max="5" width="21.00390625" style="54" customWidth="1"/>
    <col min="6" max="6" width="20.00390625" style="54" customWidth="1"/>
    <col min="7" max="7" width="20.8515625" style="54" customWidth="1"/>
    <col min="8" max="8" width="13.28125" style="54" customWidth="1"/>
    <col min="9" max="9" width="9.8515625" style="54" bestFit="1" customWidth="1"/>
    <col min="10" max="10" width="20.8515625" style="118" customWidth="1"/>
    <col min="11" max="11" width="9.140625" style="28" customWidth="1"/>
    <col min="12" max="12" width="13.7109375" style="28" bestFit="1" customWidth="1"/>
    <col min="13" max="13" width="14.57421875" style="28" bestFit="1" customWidth="1"/>
    <col min="14" max="16384" width="9.140625" style="28" customWidth="1"/>
  </cols>
  <sheetData>
    <row r="1" spans="2:10" s="43" customFormat="1" ht="24">
      <c r="B1" s="119" t="s">
        <v>74</v>
      </c>
      <c r="C1" s="24"/>
      <c r="D1" s="24"/>
      <c r="E1" s="24"/>
      <c r="F1" s="24"/>
      <c r="G1" s="24"/>
      <c r="H1" s="24"/>
      <c r="I1" s="24"/>
      <c r="J1" s="116"/>
    </row>
    <row r="2" spans="2:10" s="43" customFormat="1" ht="24">
      <c r="B2" s="13"/>
      <c r="C2" s="24"/>
      <c r="D2" s="24"/>
      <c r="E2" s="24"/>
      <c r="F2" s="24"/>
      <c r="G2" s="24"/>
      <c r="H2" s="24"/>
      <c r="I2" s="24"/>
      <c r="J2" s="116"/>
    </row>
    <row r="3" spans="2:10" s="43" customFormat="1" ht="24">
      <c r="B3" s="13"/>
      <c r="C3" s="24"/>
      <c r="D3" s="24"/>
      <c r="E3" s="24"/>
      <c r="F3" s="24"/>
      <c r="G3" s="24"/>
      <c r="H3" s="24"/>
      <c r="I3" s="24"/>
      <c r="J3" s="117" t="s">
        <v>17</v>
      </c>
    </row>
    <row r="4" spans="1:10" s="45" customFormat="1" ht="24">
      <c r="A4" s="533"/>
      <c r="B4" s="210" t="s">
        <v>20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5" t="s">
        <v>12</v>
      </c>
    </row>
    <row r="5" spans="1:13" s="24" customFormat="1" ht="72">
      <c r="A5" s="535">
        <v>1</v>
      </c>
      <c r="B5" s="531" t="s">
        <v>347</v>
      </c>
      <c r="C5" s="33">
        <f>+'ตารางที่ 5  '!C5</f>
        <v>269118550.1</v>
      </c>
      <c r="D5" s="187">
        <f>+'ตารางที่ 5  '!D5</f>
        <v>0</v>
      </c>
      <c r="E5" s="33">
        <f>+'ตารางที่ 5  '!E5</f>
        <v>5471223.6899999995</v>
      </c>
      <c r="F5" s="187">
        <f>+'ตารางที่ 5  '!F5</f>
        <v>0</v>
      </c>
      <c r="G5" s="33">
        <f>SUM(C5:F5)</f>
        <v>274589773.79</v>
      </c>
      <c r="H5" s="19">
        <v>450</v>
      </c>
      <c r="I5" s="34" t="s">
        <v>6</v>
      </c>
      <c r="J5" s="33">
        <f>G5/H5</f>
        <v>610199.4973111112</v>
      </c>
      <c r="M5" s="53"/>
    </row>
    <row r="6" spans="1:13" s="24" customFormat="1" ht="24">
      <c r="A6" s="535">
        <f>+A5+1</f>
        <v>2</v>
      </c>
      <c r="B6" s="531" t="s">
        <v>348</v>
      </c>
      <c r="C6" s="33">
        <f>+'ตารางที่ 5  '!C6+'ตารางที่ 5  '!C7+'ตารางที่ 5  '!C8+'ตารางที่ 5  '!C9+'ตารางที่ 5  '!C10</f>
        <v>290679901.90000004</v>
      </c>
      <c r="D6" s="33">
        <f>+'ตารางที่ 5  '!D6+'ตารางที่ 5  '!D7+'ตารางที่ 5  '!D8+'ตารางที่ 5  '!D9+'ตารางที่ 5  '!D10</f>
        <v>4946107.840000001</v>
      </c>
      <c r="E6" s="33">
        <f>+'ตารางที่ 5  '!E6+'ตารางที่ 5  '!E7+'ตารางที่ 5  '!E8+'ตารางที่ 5  '!E9+'ตารางที่ 5  '!E10</f>
        <v>54978269.72</v>
      </c>
      <c r="F6" s="33">
        <f>+'ตารางที่ 5  '!F6+'ตารางที่ 5  '!F7+'ตารางที่ 5  '!F8+'ตารางที่ 5  '!F9+'ตารางที่ 5  '!F10</f>
        <v>26305659.560000002</v>
      </c>
      <c r="G6" s="33">
        <f>SUM(C6:F6)</f>
        <v>376909939.02000004</v>
      </c>
      <c r="H6" s="19">
        <f>404+59</f>
        <v>463</v>
      </c>
      <c r="I6" s="34" t="s">
        <v>5</v>
      </c>
      <c r="J6" s="33">
        <f>G6/H6</f>
        <v>814060.3434557236</v>
      </c>
      <c r="M6" s="53"/>
    </row>
    <row r="7" spans="1:13" s="24" customFormat="1" ht="72">
      <c r="A7" s="535">
        <f>+A6+1</f>
        <v>3</v>
      </c>
      <c r="B7" s="530" t="s">
        <v>349</v>
      </c>
      <c r="C7" s="33">
        <f>+'ตารางที่ 5  '!C11+'ตารางที่ 5  '!C12+'ตารางที่ 5  '!C13</f>
        <v>55879514.879999995</v>
      </c>
      <c r="D7" s="33">
        <f>+'ตารางที่ 5  '!D11+'ตารางที่ 5  '!D12+'ตารางที่ 5  '!D13</f>
        <v>186820.16</v>
      </c>
      <c r="E7" s="33">
        <f>+'ตารางที่ 5  '!E11+'ตารางที่ 5  '!E12+'ตารางที่ 5  '!E13</f>
        <v>2190875.58</v>
      </c>
      <c r="F7" s="33">
        <f>+'ตารางที่ 5  '!F11+'ตารางที่ 5  '!F12+'ตารางที่ 5  '!F13</f>
        <v>2697495.95</v>
      </c>
      <c r="G7" s="33">
        <f>SUM(C7:F7)</f>
        <v>60954706.56999999</v>
      </c>
      <c r="H7" s="19">
        <v>11</v>
      </c>
      <c r="I7" s="34" t="s">
        <v>5</v>
      </c>
      <c r="J7" s="33">
        <f>G7/H7</f>
        <v>5541336.96090909</v>
      </c>
      <c r="M7" s="53"/>
    </row>
    <row r="8" spans="1:13" s="24" customFormat="1" ht="48">
      <c r="A8" s="535">
        <f>+A7+1</f>
        <v>4</v>
      </c>
      <c r="B8" s="531" t="s">
        <v>383</v>
      </c>
      <c r="C8" s="166">
        <f>+'ตารางที่ 5  '!C14</f>
        <v>35234511.44</v>
      </c>
      <c r="D8" s="166">
        <f>+'ตารางที่ 5  '!D14</f>
        <v>93840.2</v>
      </c>
      <c r="E8" s="166">
        <f>+'ตารางที่ 5  '!E14</f>
        <v>43745499.940000005</v>
      </c>
      <c r="F8" s="166">
        <f>+'ตารางที่ 5  '!F14</f>
        <v>182966.74</v>
      </c>
      <c r="G8" s="33">
        <f>SUM(C8:F8)</f>
        <v>79256818.32000001</v>
      </c>
      <c r="H8" s="164">
        <v>13</v>
      </c>
      <c r="I8" s="167" t="s">
        <v>4</v>
      </c>
      <c r="J8" s="166">
        <f>G8/H8</f>
        <v>6096678.332307693</v>
      </c>
      <c r="M8" s="53"/>
    </row>
    <row r="9" spans="1:10" s="24" customFormat="1" ht="24.75" thickBot="1">
      <c r="A9" s="534"/>
      <c r="B9" s="532" t="s">
        <v>27</v>
      </c>
      <c r="C9" s="36">
        <f>SUM(C5:C8)</f>
        <v>650912478.3199999</v>
      </c>
      <c r="D9" s="36">
        <f>SUM(D5:D8)</f>
        <v>5226768.200000001</v>
      </c>
      <c r="E9" s="36">
        <f>SUM(E5:E8)</f>
        <v>106385868.93</v>
      </c>
      <c r="F9" s="36">
        <f>SUM(F5:F8)</f>
        <v>29186122.25</v>
      </c>
      <c r="G9" s="36">
        <f>SUM(G5:G8)</f>
        <v>791711237.7000002</v>
      </c>
      <c r="H9" s="37"/>
      <c r="I9" s="37"/>
      <c r="J9" s="37"/>
    </row>
    <row r="10" spans="2:10" s="43" customFormat="1" ht="24.75" thickTop="1">
      <c r="B10" s="47"/>
      <c r="C10" s="46"/>
      <c r="D10" s="48"/>
      <c r="E10" s="39"/>
      <c r="F10" s="39"/>
      <c r="G10" s="39"/>
      <c r="H10" s="39"/>
      <c r="I10" s="39"/>
      <c r="J10" s="116"/>
    </row>
    <row r="11" spans="2:10" s="43" customFormat="1" ht="24">
      <c r="B11" s="38"/>
      <c r="C11" s="39"/>
      <c r="D11" s="39"/>
      <c r="E11" s="39"/>
      <c r="F11" s="39"/>
      <c r="G11" s="39"/>
      <c r="H11" s="39"/>
      <c r="I11" s="39"/>
      <c r="J11" s="116"/>
    </row>
    <row r="12" spans="2:9" ht="24">
      <c r="B12" s="49"/>
      <c r="C12" s="50"/>
      <c r="D12" s="51"/>
      <c r="E12" s="51"/>
      <c r="F12" s="51"/>
      <c r="G12" s="51"/>
      <c r="H12" s="51"/>
      <c r="I12" s="51"/>
    </row>
    <row r="13" spans="2:9" ht="24">
      <c r="B13" s="49"/>
      <c r="C13" s="50"/>
      <c r="D13" s="51"/>
      <c r="E13" s="51"/>
      <c r="F13" s="51"/>
      <c r="G13" s="51"/>
      <c r="H13" s="51"/>
      <c r="I13" s="51"/>
    </row>
    <row r="14" spans="2:9" ht="24">
      <c r="B14" s="49"/>
      <c r="C14" s="50"/>
      <c r="D14" s="51"/>
      <c r="E14" s="51"/>
      <c r="F14" s="51"/>
      <c r="G14" s="51"/>
      <c r="H14" s="51"/>
      <c r="I14" s="51"/>
    </row>
    <row r="15" spans="2:9" ht="24">
      <c r="B15" s="49"/>
      <c r="C15" s="50"/>
      <c r="D15" s="51"/>
      <c r="E15" s="51"/>
      <c r="F15" s="51"/>
      <c r="G15" s="51"/>
      <c r="H15" s="51"/>
      <c r="I15" s="51"/>
    </row>
    <row r="16" spans="2:3" ht="24">
      <c r="B16" s="52"/>
      <c r="C16" s="53"/>
    </row>
    <row r="17" spans="2:4" ht="24">
      <c r="B17" s="52"/>
      <c r="C17" s="55"/>
      <c r="D17" s="55"/>
    </row>
  </sheetData>
  <sheetProtection/>
  <printOptions horizontalCentered="1"/>
  <pageMargins left="0" right="0" top="0.590551181102362" bottom="0" header="0.511811023622047" footer="0.511811023622047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Sujittra Singhnakrong</dc:creator>
  <cp:keywords/>
  <dc:description/>
  <cp:lastModifiedBy>Sujittra Singhnakrong</cp:lastModifiedBy>
  <cp:lastPrinted>2019-02-13T08:26:19Z</cp:lastPrinted>
  <dcterms:created xsi:type="dcterms:W3CDTF">2009-02-18T01:44:08Z</dcterms:created>
  <dcterms:modified xsi:type="dcterms:W3CDTF">2019-02-14T03:04:04Z</dcterms:modified>
  <cp:category/>
  <cp:version/>
  <cp:contentType/>
  <cp:contentStatus/>
</cp:coreProperties>
</file>