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77" activeTab="0"/>
  </bookViews>
  <sheets>
    <sheet name="ตารางที่1" sheetId="1" r:id="rId1"/>
    <sheet name="ตารางที่2" sheetId="2" r:id="rId2"/>
    <sheet name="ตารางที่3ปันส่วน" sheetId="3" state="hidden" r:id="rId3"/>
    <sheet name="ตารางที่3 " sheetId="4" r:id="rId4"/>
    <sheet name="ตารางที่3 ปี 59" sheetId="5" state="hidden" r:id="rId5"/>
    <sheet name="ตารางที่3 (ปี 60)" sheetId="6" state="hidden" r:id="rId6"/>
    <sheet name="ตารางที่4 " sheetId="7" r:id="rId7"/>
    <sheet name="ตารางที่ 5 " sheetId="8" r:id="rId8"/>
    <sheet name="ตารางที่ 6  " sheetId="9" r:id="rId9"/>
    <sheet name="ตารางที่5" sheetId="10" state="hidden" r:id="rId10"/>
    <sheet name="ตารางที่6" sheetId="11" state="hidden" r:id="rId11"/>
    <sheet name="ตารางที่7.1 " sheetId="12" r:id="rId12"/>
    <sheet name="ตารางที่ 7.2 " sheetId="13" r:id="rId13"/>
    <sheet name="ตารางที่7.2 " sheetId="14" state="hidden" r:id="rId14"/>
    <sheet name="ตารางที่ 8.1" sheetId="15" r:id="rId15"/>
    <sheet name="ตารางที่8.2" sheetId="16" r:id="rId16"/>
    <sheet name="ตารางที่9.1" sheetId="17" r:id="rId17"/>
    <sheet name="ตารางที่9.2" sheetId="18" r:id="rId18"/>
    <sheet name="ตารางที่10" sheetId="19" r:id="rId19"/>
    <sheet name="ตารางที่10.2" sheetId="20" r:id="rId20"/>
    <sheet name="ตารางที่11" sheetId="21" r:id="rId21"/>
    <sheet name="ตารางที่11.2" sheetId="22" r:id="rId22"/>
    <sheet name="ตารางที่12" sheetId="23" r:id="rId23"/>
    <sheet name="ตารางที่12.2" sheetId="24" r:id="rId24"/>
  </sheets>
  <definedNames>
    <definedName name="_xlnm.Print_Area" localSheetId="7">'ตารางที่ 5 '!$A$1:$J$15</definedName>
    <definedName name="_xlnm.Print_Area" localSheetId="8">'ตารางที่ 6  '!$A$1:$J$10</definedName>
    <definedName name="_xlnm.Print_Area" localSheetId="12">'ตารางที่ 7.2 '!$A$1:$N$15</definedName>
    <definedName name="_xlnm.Print_Area" localSheetId="14">'ตารางที่ 8.1'!$A$1:$T$13</definedName>
    <definedName name="_xlnm.Print_Area" localSheetId="18">'ตารางที่10'!$A$1:$T$11</definedName>
    <definedName name="_xlnm.Print_Area" localSheetId="20">'ตารางที่11'!$A$1:$Y$58</definedName>
    <definedName name="_xlnm.Print_Area" localSheetId="21">'ตารางที่11.2'!$A$1:$O$25</definedName>
    <definedName name="_xlnm.Print_Area" localSheetId="22">'ตารางที่12'!$A$1:$J$14</definedName>
    <definedName name="_xlnm.Print_Area" localSheetId="1">'ตารางที่2'!$A$1:$R$53</definedName>
    <definedName name="_xlnm.Print_Area" localSheetId="3">'ตารางที่3 '!$B$1:$K$50</definedName>
    <definedName name="_xlnm.Print_Area" localSheetId="5">'ตารางที่3 (ปี 60)'!$A$1:$K$60</definedName>
    <definedName name="_xlnm.Print_Area" localSheetId="4">'ตารางที่3 ปี 59'!$A$1:$K$49</definedName>
    <definedName name="_xlnm.Print_Area" localSheetId="2">'ตารางที่3ปันส่วน'!$B$1:$K$61</definedName>
    <definedName name="_xlnm.Print_Area" localSheetId="6">'ตารางที่4 '!$A$1:$J$13</definedName>
    <definedName name="_xlnm.Print_Area" localSheetId="11">'ตารางที่7.1 '!$A$1:$U$65</definedName>
    <definedName name="_xlnm.Print_Area" localSheetId="13">'ตารางที่7.2 '!$A$1:$N$16</definedName>
    <definedName name="_xlnm.Print_Area" localSheetId="15">'ตารางที่8.2'!$A$1:$P$6</definedName>
    <definedName name="_xlnm.Print_Area" localSheetId="16">'ตารางที่9.1'!$A$1:$T$18</definedName>
    <definedName name="_xlnm.Print_Titles" localSheetId="20">'ตารางที่11'!$1:$6</definedName>
    <definedName name="_xlnm.Print_Titles" localSheetId="1">'ตารางที่2'!$1:$5</definedName>
    <definedName name="_xlnm.Print_Titles" localSheetId="3">'ตารางที่3 '!$3:$3</definedName>
    <definedName name="_xlnm.Print_Titles" localSheetId="5">'ตารางที่3 (ปี 60)'!$3:$3</definedName>
    <definedName name="_xlnm.Print_Titles" localSheetId="4">'ตารางที่3 ปี 59'!$3:$3</definedName>
    <definedName name="_xlnm.Print_Titles" localSheetId="2">'ตารางที่3ปันส่วน'!$3:$3</definedName>
    <definedName name="_xlnm.Print_Titles" localSheetId="11">'ตารางที่7.1 '!$4:$4</definedName>
  </definedNames>
  <calcPr fullCalcOnLoad="1"/>
</workbook>
</file>

<file path=xl/comments12.xml><?xml version="1.0" encoding="utf-8"?>
<comments xmlns="http://schemas.openxmlformats.org/spreadsheetml/2006/main">
  <authors>
    <author>Sujittra Singhnakrong</author>
  </authors>
  <commentList>
    <comment ref="H28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เปลี่ยนวิธีนับให้เหมือนปี 60</t>
        </r>
      </text>
    </comment>
  </commentList>
</comments>
</file>

<file path=xl/comments15.xml><?xml version="1.0" encoding="utf-8"?>
<comments xmlns="http://schemas.openxmlformats.org/spreadsheetml/2006/main">
  <authors>
    <author>Sujittra Singhnakrong</author>
  </authors>
  <commentList>
    <comment ref="A5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ถามพี่สุกัญญา คำกา สตท.เจ้าของเรื่อง</t>
        </r>
      </text>
    </comment>
  </commentList>
</comments>
</file>

<file path=xl/comments17.xml><?xml version="1.0" encoding="utf-8"?>
<comments xmlns="http://schemas.openxmlformats.org/spreadsheetml/2006/main">
  <authors>
    <author>Sujittra Singhnakrong</author>
  </authors>
  <commentList>
    <comment ref="O6" authorId="0">
      <text>
        <r>
          <rPr>
            <b/>
            <sz val="9"/>
            <rFont val="Tahoma"/>
            <family val="2"/>
          </rPr>
          <t xml:space="preserve">Sujittra Singhnakrong:
</t>
        </r>
        <r>
          <rPr>
            <sz val="9"/>
            <rFont val="Tahoma"/>
            <family val="2"/>
          </rPr>
          <t>build+สยท.
จำนวน sme ที่ได้รับการส่งเสริมจากสำนักงานฯ (โทรถามพี่หมู กับพี่แอร์)</t>
        </r>
      </text>
    </comment>
  </commentList>
</comments>
</file>

<file path=xl/comments19.xml><?xml version="1.0" encoding="utf-8"?>
<comments xmlns="http://schemas.openxmlformats.org/spreadsheetml/2006/main">
  <authors>
    <author>Sujittra Singhnakrong</author>
  </authors>
  <commentList>
    <comment ref="O6" authorId="0">
      <text>
        <r>
          <rPr>
            <b/>
            <sz val="9"/>
            <rFont val="Tahoma"/>
            <family val="2"/>
          </rPr>
          <t xml:space="preserve">Sujittra Singhnakrong:
</t>
        </r>
        <r>
          <rPr>
            <sz val="9"/>
            <rFont val="Tahoma"/>
            <family val="2"/>
          </rPr>
          <t>build+สยท.
จำนวน sme ที่ได้รับการส่งเสริมจากสำนักงานฯ (โทรถามพี่หมู กับพี่แอร์)</t>
        </r>
      </text>
    </comment>
  </commentList>
</comments>
</file>

<file path=xl/comments3.xml><?xml version="1.0" encoding="utf-8"?>
<comments xmlns="http://schemas.openxmlformats.org/spreadsheetml/2006/main">
  <authors>
    <author>sujittra singhnakrong</author>
    <author>Sujittra Singhnakrong</author>
  </authors>
  <commentList>
    <comment ref="I3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ดูมในราบงานที่ส่งกลับมากรณีทางคลังต้องทำหนังสือสอบถามแต่ละสำนัก
</t>
        </r>
      </text>
    </comment>
    <comment ref="C8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สตท.+สพท.+สยท.</t>
        </r>
      </text>
    </comment>
    <comment ref="I8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สตท=9
สยท=1</t>
        </r>
      </text>
    </comment>
    <comment ref="J24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59 ของสกท.เปรียบเทียบกับที่ สพท.ให้มาตรงกันมั้ย ถ้าไม่ตรงให้เอาตามผลตัวชี้วัด</t>
        </r>
      </text>
    </comment>
    <comment ref="J34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59 ของสกท.เปรียบเทียบกับที่ สพท.ให้มาตรงกันมั้ย ถ้าไม่ตรงให้เอาตามผลตัวชี้วัด</t>
        </r>
      </text>
    </comment>
    <comment ref="J36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สอบถามสสท.พี่แอร์ จำนวนโครงการที่ยื่นขอรับการส่งเสริมแต่ละ Secter มีกี่โครงการ(ไม่เอาโครงการที่อนุมัติเอาที่ยื่นขอ) ปี 59 ต.ค.58-ก.ย.59</t>
        </r>
      </text>
    </comment>
    <comment ref="J38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เรียกในระบบ GFMIS คำสั่ง 
FB03 วันที่ผ่านรายการ 01.10.2015-30.09.2016</t>
        </r>
      </text>
    </comment>
    <comment ref="J39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เรียกในระบบ GFMIS คำสั่ง
ZMM-PO-RPT02 วันที่บันทึก </t>
        </r>
      </text>
    </comment>
    <comment ref="I26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กตป.+ศบท.+</t>
        </r>
      </text>
    </comment>
    <comment ref="I27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ศบท.+</t>
        </r>
      </text>
    </comment>
  </commentList>
</comments>
</file>

<file path=xl/comments4.xml><?xml version="1.0" encoding="utf-8"?>
<comments xmlns="http://schemas.openxmlformats.org/spreadsheetml/2006/main">
  <authors>
    <author>sujittra singhnakrong</author>
    <author>Sujittra Singhnakrong</author>
  </authors>
  <commentList>
    <comment ref="I3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ดูมในราบงานที่ส่งกลับมากรณีทางคลังต้องทำหนังสือสอบถามแต่ละสำนัก
</t>
        </r>
      </text>
    </comment>
    <comment ref="C6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สตท.+สพท.+สยท.</t>
        </r>
      </text>
    </comment>
    <comment ref="J19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59 ของสกท.เปรียบเทียบกับที่ สพท.ให้มาตรงกันมั้ย ถ้าไม่ตรงให้เอาตามผลตัวชี้วัด</t>
        </r>
      </text>
    </comment>
    <comment ref="J26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59 ของสกท.เปรียบเทียบกับที่ สพท.ให้มาตรงกันมั้ย ถ้าไม่ตรงให้เอาตามผลตัวชี้วัด</t>
        </r>
      </text>
    </comment>
    <comment ref="J27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สอบถามสสท.พี่แอร์ จำนวนโครงการที่ยื่นขอรับการส่งเสริมแต่ละ Secter มีกี่โครงการ(ไม่เอาโครงการที่อนุมัติเอาที่ยื่นขอ) ปี 59 ต.ค.58-ก.ย.59</t>
        </r>
      </text>
    </comment>
    <comment ref="J29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เรียกในระบบ GFMIS คำสั่ง 
FB03 วันที่ผ่านรายการ 01.10.2015-30.09.2016</t>
        </r>
      </text>
    </comment>
    <comment ref="J30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เรียกในระบบ GFMIS คำสั่ง
ZMM-PO-RPT02 วันที่บันทึก </t>
        </r>
      </text>
    </comment>
    <comment ref="I6" authorId="1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สตท=7
สยท=1
สพท.= 13</t>
        </r>
      </text>
    </comment>
  </commentList>
</comments>
</file>

<file path=xl/comments5.xml><?xml version="1.0" encoding="utf-8"?>
<comments xmlns="http://schemas.openxmlformats.org/spreadsheetml/2006/main">
  <authors>
    <author>Sujittra Singhnakrong</author>
  </authors>
  <commentList>
    <comment ref="C8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สตท.+สพท.+สยท.</t>
        </r>
      </text>
    </comment>
    <comment ref="C22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กตป.+สยท.</t>
        </r>
      </text>
    </comment>
  </commentList>
</comments>
</file>

<file path=xl/comments6.xml><?xml version="1.0" encoding="utf-8"?>
<comments xmlns="http://schemas.openxmlformats.org/spreadsheetml/2006/main">
  <authors>
    <author>Sujittra Singhnakrong</author>
  </authors>
  <commentList>
    <comment ref="C8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สตท.+สพท.+สยท.</t>
        </r>
      </text>
    </comment>
    <comment ref="C22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กตป.+สยท.</t>
        </r>
      </text>
    </comment>
    <comment ref="C23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สยท.</t>
        </r>
      </text>
    </comment>
    <comment ref="C29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สยท.</t>
        </r>
      </text>
    </comment>
    <comment ref="C26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สยท.+สตท.</t>
        </r>
      </text>
    </comment>
    <comment ref="I19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60 ของสกท.เปรียบเทียบกับที่ สพท.ให้มาตรงกันมั้ย ถ้าไม่ตรงให้เอาตามผลตัวชี้วัด</t>
        </r>
      </text>
    </comment>
    <comment ref="I16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สอบถามสสท.พี่แอร์ จำนวนโครงการที่ยื่นขอรับการส่งเสริมแต่ละ Secter มีกี่โครงการ(ไม่เอาโครงการที่อนุมัติเอาที่ยื่นขอ) ปี 60 ต.ค.59-ก.ย.60</t>
        </r>
      </text>
    </comment>
    <comment ref="I24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60 ของสกท.เปรียบเทียบกับที่ สพท.ให้มาตรงกันมั้ย ถ้าไม่ตรงให้เอาตามผลตัวชี้วัด</t>
        </r>
      </text>
    </comment>
    <comment ref="I17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ให้ดูในตารางผลตัวชี้วัดงปม.รายเดือน ปี 60 ของสกท.ในชุดแผนเพิ่มฯของพี่มด ตรงหัวข้อ จำนวนการจัดสัมนาการลงทุน/บรรยายของสนง.ตปท.  118</t>
        </r>
      </text>
    </comment>
    <comment ref="I36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นับจำนวนเลขสัญญาในทะเบียนคุมงปม.</t>
        </r>
      </text>
    </comment>
  </commentList>
</comments>
</file>

<file path=xl/comments8.xml><?xml version="1.0" encoding="utf-8"?>
<comments xmlns="http://schemas.openxmlformats.org/spreadsheetml/2006/main">
  <authors>
    <author>Sujittra Singhnakrong</author>
  </authors>
  <commentList>
    <comment ref="H6" authorId="0">
      <text>
        <r>
          <rPr>
            <b/>
            <sz val="9"/>
            <rFont val="Tahoma"/>
            <family val="2"/>
          </rPr>
          <t xml:space="preserve">Sujittra Singhnakrong:
</t>
        </r>
        <r>
          <rPr>
            <sz val="9"/>
            <rFont val="Tahoma"/>
            <family val="2"/>
          </rPr>
          <t>build+สยท.
จำนวน sme ที่ได้รับการส่งเสริมจากสำนักงานฯ (โทรถามพี่หมู กับพี่แอร์)</t>
        </r>
      </text>
    </comment>
  </commentList>
</comments>
</file>

<file path=xl/comments9.xml><?xml version="1.0" encoding="utf-8"?>
<comments xmlns="http://schemas.openxmlformats.org/spreadsheetml/2006/main">
  <authors>
    <author>Sujittra Singhnakrong</author>
  </authors>
  <commentList>
    <comment ref="H6" authorId="0">
      <text>
        <r>
          <rPr>
            <b/>
            <sz val="9"/>
            <rFont val="Tahoma"/>
            <family val="2"/>
          </rPr>
          <t xml:space="preserve">Sujittra Singhnakrong:
</t>
        </r>
        <r>
          <rPr>
            <sz val="9"/>
            <rFont val="Tahoma"/>
            <family val="2"/>
          </rPr>
          <t>build+สยท.
จำนวน sme ที่ได้รับการส่งเสริมจากสำนักงานฯ (โทรถามพี่หมู กับพี่แอร์)</t>
        </r>
      </text>
    </comment>
  </commentList>
</comments>
</file>

<file path=xl/sharedStrings.xml><?xml version="1.0" encoding="utf-8"?>
<sst xmlns="http://schemas.openxmlformats.org/spreadsheetml/2006/main" count="1372" uniqueCount="463">
  <si>
    <t>เงินในงบประมาณ</t>
  </si>
  <si>
    <t>เงินนอกงบประมาณ</t>
  </si>
  <si>
    <t>งบกลาง</t>
  </si>
  <si>
    <t>ค่าเสื่อมราคา</t>
  </si>
  <si>
    <t>ครั้ง</t>
  </si>
  <si>
    <t>ราย</t>
  </si>
  <si>
    <t>คน</t>
  </si>
  <si>
    <t>รายการ</t>
  </si>
  <si>
    <t>คน/วัน</t>
  </si>
  <si>
    <t>ปริมาณ</t>
  </si>
  <si>
    <t>หน่วยนับ</t>
  </si>
  <si>
    <t>ต้นทุนรวม</t>
  </si>
  <si>
    <t>ต้นทุนต่อหน่วย</t>
  </si>
  <si>
    <t>ผลผลิตย่อย</t>
  </si>
  <si>
    <t>กิจกรรมย่อย</t>
  </si>
  <si>
    <t>กิจกรรมย่อยของหน่วยงานหลัก</t>
  </si>
  <si>
    <t>กิจกรรมย่อยของหน่วยงานสนับสนุน</t>
  </si>
  <si>
    <t>(หน่วย : บาท)</t>
  </si>
  <si>
    <t>รวม</t>
  </si>
  <si>
    <t>กิจกรรมหลัก</t>
  </si>
  <si>
    <t>ผลผลิตหลัก</t>
  </si>
  <si>
    <t>ประเภทค่าใช้จ่าย</t>
  </si>
  <si>
    <t>1.  ค่าใช้จ่ายบุคลากร</t>
  </si>
  <si>
    <t>2.  ค่าใช้จ่ายด้านการฝึกอบรม</t>
  </si>
  <si>
    <t>3.  ค่าใช้จ่ายเดินทาง</t>
  </si>
  <si>
    <t>4.  ค่าตอบแทน ใช้สอย วัสดุและค่าสาธารณูปโภค</t>
  </si>
  <si>
    <t>5.  ค่าเสื่อมราคาและค่าตัดจำหน่าย</t>
  </si>
  <si>
    <t>รวมต้นทุนผลผลิต</t>
  </si>
  <si>
    <t>หมายเหตุ :</t>
  </si>
  <si>
    <t>ค่าใช้จ่ายในระบบ GFMIS</t>
  </si>
  <si>
    <t>หัก</t>
  </si>
  <si>
    <t>ศูนย์ต้นทุน</t>
  </si>
  <si>
    <t>ศูนย์ต้นทุนหลัก</t>
  </si>
  <si>
    <t>ศูนย์ต้นทุนสนับสนุน</t>
  </si>
  <si>
    <t>ค่าใช้จ่ายบุคลากร</t>
  </si>
  <si>
    <t>ค่าตอบแทน ใช้สอย วัสดุและสาธารณูปโภค</t>
  </si>
  <si>
    <t>ค่าใช้จ่ายเดินทาง</t>
  </si>
  <si>
    <t>ค่าเสื่อมราคาและค่าตัดจำหน่าย</t>
  </si>
  <si>
    <t>ค่าใช้จ่ายด้านการฝึกอบรม</t>
  </si>
  <si>
    <t>ค่าจำหน่ายจากการขายสินทรัพย์</t>
  </si>
  <si>
    <t>ค่าใช้จ่ายทางตรง</t>
  </si>
  <si>
    <t>ค่าใช้จ่ายทางอ้อม</t>
  </si>
  <si>
    <t>ชั่วโมง/คน</t>
  </si>
  <si>
    <t>ต้นทุนรวม เพิ่ม/(ลด)%</t>
  </si>
  <si>
    <t>หน่วยนับ เพิ่ม/(ลด)%</t>
  </si>
  <si>
    <t>ต้นทุนต่อหน่วย เพิ่ม/(ลด)%</t>
  </si>
  <si>
    <t>ผลการเปรียบเทียบ</t>
  </si>
  <si>
    <t>ตารางที่ 7</t>
  </si>
  <si>
    <t>เปรียบเทียบผลการคำนวณต้นทุนกิจกรรมย่อยแยกตามแหล่งเงิน</t>
  </si>
  <si>
    <t>ตารางที่ 8</t>
  </si>
  <si>
    <t>เปรียบเทียบผลการคำนวณต้นทุนกิจกรรมหลักแยกตามแหล่งเงิน</t>
  </si>
  <si>
    <t>ตารางที่ 9</t>
  </si>
  <si>
    <t>เปรียบเทียบผลการคำนวณต้นทุนผลผลิตย่อยแยกตามแหล่งเงิน</t>
  </si>
  <si>
    <t>ตารางที่ 10</t>
  </si>
  <si>
    <t>เปรียบเทียบผลการคำนวณต้นทุนผลผลิตหลักแยกตามแหล่งเงิน</t>
  </si>
  <si>
    <t>ต้นทุนคงที่</t>
  </si>
  <si>
    <t>ต้นทุนผันแปร</t>
  </si>
  <si>
    <t>ต้นทุนคงที่ เพิ่ม/(ลด)%</t>
  </si>
  <si>
    <t>ต้นทุนผันแปร เพิ่ม/(ลด)%</t>
  </si>
  <si>
    <t>ตารางที่ 12  รายงานเปรียบเทียบต้นทุนทางอ้อมตามลักษณะของต้นทุน  (คงที่/ผันแปร)</t>
  </si>
  <si>
    <t>ต้นทุนทางอ้อม</t>
  </si>
  <si>
    <t>ต้นทุนผันแปร เพิ่ม/(ลด) %</t>
  </si>
  <si>
    <t>หมายเหตุ  :  ต้นทุนคงที่ หมายถึง ต้นทุนที่ไม่ได้เปลี่ยนแปลงไปตามปริมาณกิจกรรมหรือผลผลิตของหน่วยงาน</t>
  </si>
  <si>
    <t>รวมต้นทุนผลผลิตทั้งสิ้น</t>
  </si>
  <si>
    <t>รวมต้นทุนทั้งสิ้น</t>
  </si>
  <si>
    <t>ตารางที่ 11</t>
  </si>
  <si>
    <t xml:space="preserve">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</t>
  </si>
  <si>
    <t xml:space="preserve">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 </t>
  </si>
  <si>
    <t>(อธิบายเฉพาะศูนย์ต้นทุนที่เปลี่ยนแปลงอย่างมีสาระสำคัญ)</t>
  </si>
  <si>
    <t>ตารางที่ 12</t>
  </si>
  <si>
    <t xml:space="preserve">รายงานเปรียบเทียบต้นทุนทางอ้อมตามลักษณะของต้นทุน (คงที่/ผันแปร) </t>
  </si>
  <si>
    <t xml:space="preserve">การวิเคราะห์สาเหตุของการเปลี่ยนแปลงของต้นทุนทางอ้อมตามลักษณะของต้นทุน (คงที่/ผันแปร) </t>
  </si>
  <si>
    <t>(อธิบายเฉพาะค่าใช้จ่ายทางอ้อมที่เปลี่ยนแปลงอย่างมีสาระสำคัญ)</t>
  </si>
  <si>
    <r>
      <t>ตารางที่ 2</t>
    </r>
    <r>
      <rPr>
        <b/>
        <sz val="14"/>
        <color indexed="8"/>
        <rFont val="TH SarabunPSK"/>
        <family val="2"/>
      </rPr>
      <t xml:space="preserve">  รายงานต้นทุนตามศูนย์ต้นทุนแยกตามประเภทค่าใช้จ่าย</t>
    </r>
  </si>
  <si>
    <r>
      <t>ตารางที่ 6</t>
    </r>
    <r>
      <rPr>
        <b/>
        <sz val="15"/>
        <color indexed="8"/>
        <rFont val="TH SarabunPSK"/>
        <family val="2"/>
      </rPr>
      <t xml:space="preserve">  รายงานต้นทุนผลผลิตหลักแยกตามแหล่งของเงิน</t>
    </r>
  </si>
  <si>
    <r>
      <t xml:space="preserve">ตารางที่ 7 </t>
    </r>
    <r>
      <rPr>
        <b/>
        <sz val="16"/>
        <color indexed="8"/>
        <rFont val="TH SarabunPSK"/>
        <family val="2"/>
      </rPr>
      <t xml:space="preserve"> เปรียบเทียบผลการคำนวณต้นทุนกิจกรรมย่อยแยกตามแหล่งเงิน</t>
    </r>
  </si>
  <si>
    <r>
      <t>ตารางที่ 10</t>
    </r>
    <r>
      <rPr>
        <b/>
        <sz val="15"/>
        <color indexed="8"/>
        <rFont val="TH SarabunPSK"/>
        <family val="2"/>
      </rPr>
      <t xml:space="preserve">  เปรียบเทียบผลการคำนวณต้นทุนผลผลิตหลักแยกตามแหล่งเงิน</t>
    </r>
  </si>
  <si>
    <r>
      <t>ตารางที่ 11</t>
    </r>
    <r>
      <rPr>
        <sz val="12"/>
        <color indexed="8"/>
        <rFont val="TH SarabunPSK"/>
        <family val="2"/>
      </rPr>
      <t xml:space="preserve">  รายงานเปรียบเทียบต้นทุนทางตรงตามศูนย์ต้นทุนแยกตามประเภทค่าใช้จ่ายและลักษณะของต้นทุน (คงที่และผันแปร)</t>
    </r>
  </si>
  <si>
    <t xml:space="preserve">                 ต้นทุนผันแปร หมายถึง ต้นทุนที่เปลี่ยนแปลงไปตามปริมาณกิจกรรมหรือผลผลิตของหน่วยงาน</t>
  </si>
  <si>
    <t>รายการ T/E ระหว่างหน่วยงาน</t>
  </si>
  <si>
    <t>ค่าใช้จ่ายเกี่ยวกับบำเหน็จบำนาญ</t>
  </si>
  <si>
    <t>ค่าใช้จ่ายเดินทาง (5103)</t>
  </si>
  <si>
    <t xml:space="preserve">  ค่าใช้จ่ายบุคลากร (5101)</t>
  </si>
  <si>
    <t>ค่าใช้จ่ายด้านการฝึกอบรม (5102)</t>
  </si>
  <si>
    <t>ค่าเสื่อมราคาและค่าตัดจำหน่าย (5105)</t>
  </si>
  <si>
    <t>ค่าจำหน่ายจากการขายสินทรัพย์ (5203)</t>
  </si>
  <si>
    <t>ด้าน</t>
  </si>
  <si>
    <t>จำนวนหนังสือเข้า-ออก</t>
  </si>
  <si>
    <t>กิโลเมตร</t>
  </si>
  <si>
    <t>ระบบ</t>
  </si>
  <si>
    <t>จำนวนเครื่องคอมพิวเตอร์</t>
  </si>
  <si>
    <t>1. การส่งเสริมการลงทุนในอุตสาหกรรมเป้าหมายและอุตสาหกรรมสำคัญตามนโยบายรัฐบาล</t>
  </si>
  <si>
    <t>2. การดำเนินภารกิจในต่างประเทศ</t>
  </si>
  <si>
    <t>3. การเจรจาและทำข้อตกลงด้านการลงทุนในเวทีระหว่างประเทศ</t>
  </si>
  <si>
    <t>4. การพัฒนาปัจจัยสนับสนุนการลงทุน</t>
  </si>
  <si>
    <t>5. การส่งเสริมการลงทุนไทยในต่างประเทศ</t>
  </si>
  <si>
    <t>1. การลงทุนในประเทศที่ได้รับการส่งเสริม</t>
  </si>
  <si>
    <t>โครงการ</t>
  </si>
  <si>
    <t>งาน</t>
  </si>
  <si>
    <t>จำนวนบัตรส่งเสริม</t>
  </si>
  <si>
    <t>จำนวนประกาศ</t>
  </si>
  <si>
    <t>สิ่งที่ส่งมาด้วย 1</t>
  </si>
  <si>
    <t>สิ่งที่ส่งมาด้วย 2</t>
  </si>
  <si>
    <t>ศูนย์บริการลงทุน</t>
  </si>
  <si>
    <t>ศูนย์เศรษฐกิจการลงทุนภาคที่ 1</t>
  </si>
  <si>
    <t>ศูนย์เศรษฐกิจการลงทุนภาคที่ 2</t>
  </si>
  <si>
    <t>ศูนย์เศรษฐกิจการลงทุนภาคที่ 5</t>
  </si>
  <si>
    <t>กลุ่มบริหารงานคลังและพัสดุ</t>
  </si>
  <si>
    <t>กลุ่มบริหารทรัพยากรบุคคล</t>
  </si>
  <si>
    <t>กลุ่มบัตรส่งเสริม</t>
  </si>
  <si>
    <t>กลุ่มบริหารทั่วไป</t>
  </si>
  <si>
    <t>กลุ่มกฎหมาย</t>
  </si>
  <si>
    <t>กลุ่มการประชุม</t>
  </si>
  <si>
    <t>กลุ่มพัฒนาระบบบริหาร</t>
  </si>
  <si>
    <t>กลุ่มตรวจสอบภายใน</t>
  </si>
  <si>
    <t>กองความร่วมมือการลงทุนต่างประเทศ</t>
  </si>
  <si>
    <t>กองส่งเสริมการลงทุนไทยในต่างประเทศ</t>
  </si>
  <si>
    <r>
      <t xml:space="preserve">ตารางที่ 3 </t>
    </r>
    <r>
      <rPr>
        <b/>
        <sz val="16"/>
        <rFont val="TH SarabunPSK"/>
        <family val="2"/>
      </rPr>
      <t xml:space="preserve"> รายงานต้นทุนกิจกรรมย่อยแยกตามแหล่งเงิน </t>
    </r>
  </si>
  <si>
    <t xml:space="preserve">     ค่าใช้จ่าย             เดินทาง       (อ5103)</t>
  </si>
  <si>
    <t xml:space="preserve">ประจำการสถานเอกอัครราชทูต ณ กรุงโซล  </t>
  </si>
  <si>
    <t xml:space="preserve">ศูนย์เศรษฐกิจการลงทุนภาคที่ 7 </t>
  </si>
  <si>
    <t xml:space="preserve">ศูนย์เศรษฐกิจการลงทุนภาคที่ 3 </t>
  </si>
  <si>
    <t xml:space="preserve">ศูนย์เศรษฐกิจการลงทุนภาคที่ 4 </t>
  </si>
  <si>
    <t xml:space="preserve">ศูนย์เศรษฐกิจการลงทุนภาคที่ 6 </t>
  </si>
  <si>
    <t xml:space="preserve">ปจก.สถานกงสุลใหญ่  ณ นครลอสแอนเจลิส </t>
  </si>
  <si>
    <t xml:space="preserve">สนง.เศรษฐกิจการลงทุน  ณ นครแฟรงค์เฟิร์ต </t>
  </si>
  <si>
    <t>สนง.เศรษฐกิจการลงทุน  ณ กรุงปารีส</t>
  </si>
  <si>
    <t xml:space="preserve">สนง.เศรษฐกิจการลงทุน  ณ กรุงโตเกียว </t>
  </si>
  <si>
    <t xml:space="preserve">ปจก.สถานกงสุลใหญ่  ณ นครโอซากา  </t>
  </si>
  <si>
    <t>สนง.เศรษฐกิจการลงทุน ณ นครเซี่ยงไฮ้</t>
  </si>
  <si>
    <t xml:space="preserve">ปจก.สถานเอกอัครราชทูต  ณ กรุงปักกิ่ง </t>
  </si>
  <si>
    <t xml:space="preserve">ปจก.สถานกงสุลใหญ่  ณ นครกวางโจว </t>
  </si>
  <si>
    <t xml:space="preserve">ปจก.สำนักงานการค้าและเศรษฐกิจไทย ณ ไทเป  </t>
  </si>
  <si>
    <t xml:space="preserve">ปจก.สถานกงสุลใหญ่  ณ นครซิดนีย์  </t>
  </si>
  <si>
    <t xml:space="preserve">ปจก.สถานกงสุลใหญ่   ณ เมืองมุมไบ           </t>
  </si>
  <si>
    <t xml:space="preserve">ปจก.สถานเอกอัครราชทูต  ณ กรุงสตอกโฮล์ม  </t>
  </si>
  <si>
    <t xml:space="preserve">ศูนย์ประสานการบริการด้านการลงทุน </t>
  </si>
  <si>
    <t>6. การพัฒนาเทคโนโลยีสารสนเทศและการสื่อสาร</t>
  </si>
  <si>
    <t>0103200010</t>
  </si>
  <si>
    <t>0103200011</t>
  </si>
  <si>
    <t>0103200013</t>
  </si>
  <si>
    <t>0103200014</t>
  </si>
  <si>
    <t>0103200016</t>
  </si>
  <si>
    <t>0103200017</t>
  </si>
  <si>
    <t>0103200018</t>
  </si>
  <si>
    <t>0103200019</t>
  </si>
  <si>
    <t>0103200020</t>
  </si>
  <si>
    <t>0103200021</t>
  </si>
  <si>
    <t>0103200022</t>
  </si>
  <si>
    <t>0103200023</t>
  </si>
  <si>
    <t>0103200024</t>
  </si>
  <si>
    <t>0103200025</t>
  </si>
  <si>
    <t>0103200026</t>
  </si>
  <si>
    <t>0103200027</t>
  </si>
  <si>
    <t>0103200028</t>
  </si>
  <si>
    <t>0103200029</t>
  </si>
  <si>
    <t>0103200030</t>
  </si>
  <si>
    <t>0103200031</t>
  </si>
  <si>
    <t>0103200032</t>
  </si>
  <si>
    <t>0103200033</t>
  </si>
  <si>
    <t>0103200034</t>
  </si>
  <si>
    <t>0103200035</t>
  </si>
  <si>
    <t>0103200036</t>
  </si>
  <si>
    <t>0103200037</t>
  </si>
  <si>
    <t>0103200038</t>
  </si>
  <si>
    <t>0103200039</t>
  </si>
  <si>
    <t>0103200040</t>
  </si>
  <si>
    <t>0103200041</t>
  </si>
  <si>
    <t>0103200042</t>
  </si>
  <si>
    <t>0103200043</t>
  </si>
  <si>
    <t>0103200001</t>
  </si>
  <si>
    <t>0103200002</t>
  </si>
  <si>
    <t>0103200003</t>
  </si>
  <si>
    <t>0103200004</t>
  </si>
  <si>
    <t>0103200005</t>
  </si>
  <si>
    <t>0103200006</t>
  </si>
  <si>
    <t>0103200007</t>
  </si>
  <si>
    <t>0103200008</t>
  </si>
  <si>
    <t>0103200009</t>
  </si>
  <si>
    <t>0103200012</t>
  </si>
  <si>
    <t>0103200015</t>
  </si>
  <si>
    <t xml:space="preserve">งานประชาสัมพันธ์เผยแพร่ผ่านสื่อ, งานเผยแพร่นโยบายและให้บริการด้านการลงทุน, งานเผยแพร่ผ่าน Website มีต้นทุนต่อหน่วยลดลงร้อยละ 67.75, 31.54, และ </t>
  </si>
  <si>
    <t>25.27 ปริมาณหน่วยนับเพิ่มขึ้นมากกว่าร้อยละ 100, ร้อยละ 42.76 และร้อยละ 25 ตามลำดับ  ซึ่งศูนย์บริการลงทุนรับผิดชอบกิจกรรมย่อยดังกล่าว ได้ดำเนินการโฆษณา ประชาสัมพันธ์</t>
  </si>
  <si>
    <t>เพื่อเสริมสร้างภาพลักษณ์การลงทุนของประเทศ ฟื้นฟูความเชื่อมั่นให้นักลงทุน คู่ค้า และนักท่องเที่ยว ว่าประเทศไทยปลอดภัยและมีพื้นฐานเศรษฐกิจที่แข็งแกร่ง พร้อมสำหรับการดำเนินธุรกิจ</t>
  </si>
  <si>
    <t>และท่องเที่ยว ในระยสั้นและระยะยาว รวมทั้งสร้างความเชื่อมั่นในระยะยาวว่าประเทศไทยเนศูนย์กลางทางเศรษฐกิจของภูมิภาค (Regional Economic Power House) จึงทำให้ปริมาณหน่วย</t>
  </si>
  <si>
    <t>นับเพิ่มขึ้น ส่งผลให้ต้นทุนต่อหน่วยลดลง</t>
  </si>
  <si>
    <r>
      <t>ตารางที่ 5</t>
    </r>
    <r>
      <rPr>
        <b/>
        <sz val="16"/>
        <color indexed="8"/>
        <rFont val="TH SarabunPSK"/>
        <family val="2"/>
      </rPr>
      <t xml:space="preserve">  รายงานต้นทุนกิจกรรมหลักแยกตามแหล่งของเงิน</t>
    </r>
  </si>
  <si>
    <r>
      <t>ตารางที่ 4</t>
    </r>
    <r>
      <rPr>
        <b/>
        <sz val="16"/>
        <color indexed="8"/>
        <rFont val="TH SarabunPSK"/>
        <family val="2"/>
      </rPr>
      <t xml:space="preserve">  รายงานต้นทุนผลผลิตย่อยแยกตามแหล่งของเงิน</t>
    </r>
  </si>
  <si>
    <r>
      <t>ตารางที่ 9</t>
    </r>
    <r>
      <rPr>
        <b/>
        <sz val="16"/>
        <color indexed="8"/>
        <rFont val="TH SarabunPSK"/>
        <family val="2"/>
      </rPr>
      <t xml:space="preserve">  เปรียบเทียบผลการคำนวณต้นทุนกิจกรรมหลักแยกตามแหล่งของเงิน</t>
    </r>
  </si>
  <si>
    <r>
      <t>ตารางที่ 8</t>
    </r>
    <r>
      <rPr>
        <b/>
        <sz val="16"/>
        <color indexed="8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</si>
  <si>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 xml:space="preserve">สำนักพัฒนาปัจจัยสนับสนุนการลงทุน(0103200017) ต้นทุนผันแปรลดลงร้อยละ 75.11 เนื่องจากปี 2557 มีการเบิกจ่ายเงินกันเหลื่อมปี 2556 </t>
  </si>
  <si>
    <t>ของปี 2558 น้อยกว่าปี 2557 ส่งผลให้ต้นทุนรวมปี 2558 ลดลง</t>
  </si>
  <si>
    <t>สำนักบริหารการลงทุน 4 (0103200022) ต้นทุนผันแปรลดลงร้อยละ 85.89 เนื่องจากปี 2557 มีรายการค่าเช่าที่จอดรถจากเหตุความไม่สงบทาง</t>
  </si>
  <si>
    <t>การเมือง จำนวน 20,450 บาท และค่าใช้จ่ายในการฝึกอบรมภาษาอังกฤษเพื่อสื่อสารระหว่างประเทศหลักสูตร Intensive Language Course:ILC จำนวน 40,000 บาท เมื่อเทียบ</t>
  </si>
  <si>
    <t>กับปี 2558 ทำให้ค่าใช้จ่ายด้านการฝึกอบรมและค่าใช้สอยปี 2558 น้อยกว่าปี 2557 ส่งผลให้ต้นทุนผันแปรปี 2558 ลดลงร้อยละ 85.89</t>
  </si>
  <si>
    <t xml:space="preserve">งานออกแบบและผลิตงานสร้างสรรค์และประชาสัมพันธ์ ต้นทุนต่อหน่วยเพิ่มขึ้น ร้อยละ 93.63 ต้นทุนรวมเพิ่มขึ้นมากกว่าร้อยละ 100 และปริมาณหน่วยนับเพิ่มขึ้นร้อยละ </t>
  </si>
  <si>
    <t xml:space="preserve">66.67 ซึ่งศูนย์บริการลงทุนรับผิดชอบกิจกรรมย่อยดังกล่าว ได้ดำเนินการโฆษณา ประชาสัมพันธ์ เพื่อเสริมสร้างภาพลักษณ์การลงทุนของประเทศ ฟื้นฟูความเชื่อมั่นให้นักลงทุน คู่ค้า </t>
  </si>
  <si>
    <t>(Regional Economic Power House) ส่งผลให้ต้นทุนรวม ปริมาณหน่วยนับ และต้นทุนต่อหน่วยเพิ่มขึ้น</t>
  </si>
  <si>
    <t xml:space="preserve">งานบริการลงทุน และศูนย์วีซ่าและหน่วยช่างฝีมือ ต้นทุนต่อหน่วยเพิ่มขึ้นมากกว่าร้อยละ 100 ปริมาณหน่วยนับลดลง ร้อยละ 61.29 สืบเนื่องจากในปีงบประมาณ 2558 </t>
  </si>
  <si>
    <t>งานเจรจาและทำข้อตกลงด้านการลงทุน ต้นทุนต่อหน่วยลดลงร้อยละ 56.62 ปริมาณหน่วยนับเพิ่มขึ้นมากกว่าร้อยละ 100 สืบเนื่องจากปีงบประมาณ 2557 ได้วางแผน</t>
  </si>
  <si>
    <t>เจรจาและทำข้อตกลงด้านการลงทุนไว้ จำนวน 35 ครั้ง แต่ในปี 2557 ทำได้เพียง 18 ครั้ง อันเนื่องมาจากความไม่สงบทางการเมือง ดังนั้นในปี 2558 กองความร่วมมือการลงทุนต่างประเทศ</t>
  </si>
  <si>
    <t>สามารถดำเนินการได้ตามแผน จึงทำให้ปริมาณหน่วยนับเพิ่มขึ้น ส่งผลให้ต้นทุนต่อหน่วยลดลง</t>
  </si>
  <si>
    <t>งานจัดกิจกรรมพัฒนาขีดความสามารถผู้ประกอบการไทย ต้นทุนต่อหน่วยลดลง ร้อยละ 40.70 ปริมาณหน่วยนับเพิ่มขึ้นร้อยละ 60 สืบเนื่องจากในปี 2558 มีการวางแผน</t>
  </si>
  <si>
    <t>เพิ่มขึ้น จึงทำให้หน่วยนับเพิ่มขึ้น ต้นทุนต่อหน่วยลดลง</t>
  </si>
  <si>
    <t>งานขอรับการส่งเสริมการลงทุน ต้นทุนต่อหน่วยลดลงร้อยละ 39.92 จำนวนโครงการเพิ่มขึ้นร้อยละ 64.15 สืบเนื่องจากโครงการที่ขอรับการส่งเสริมการลงทุนเพิ่มขึ้นมาก</t>
  </si>
  <si>
    <t>เป็นพิเศษในเดือนธันวาคม 2557 เพราะนักลงทุนจำนวนมากประสงค์จะยื่นขอรับการส่งเสริมตามนโยบายเดิมที่จะสิ้นสุดลงในวันที่ 31 ธันวาคม 2557 ( ประกาศสำนักงานคณะกรรมการส่งเสริม</t>
  </si>
  <si>
    <t>งานด้านเทคโนโลยีสารสนเทศภายในหน่วยงาน ต้นทุนต่อหน่วยลดลงร้อยละ 27.22 ปริมาณหน่วยนับเพิ่มขึ้นร้อยละ 28.97 สืบเนื่องจากปี 2558 มีการจัดซื้อ</t>
  </si>
  <si>
    <t>เครื่องคอมพิวเตอร์ จำนวน 100 เครื่อง, Printer จำนวน 8 เครื่อง, Notebook จำนวน 25 เครื่อง และTablet จำนวน 5 เครื่อง ทำให้ปริมาณหน่วยนับเพิ่มขึ้น ส่งผลให้ต้นทุนต่อหน่วยลดลง</t>
  </si>
  <si>
    <t xml:space="preserve">ด้านการจัดประชุมคณะกรรมการส่งเสริมการลงทุน, การประชุมกรรมการพิจารณาโครงการ และการประชุมคณะทำงานพิจารณาโครงการ ไม่สามารถจัดประชุมได้ตามแผนที่วางไว้ </t>
  </si>
  <si>
    <t>เมื่อเปรียบเทียบกับปี 2558 จึงทำให้ปริมาณหน่วยนับเพิ่มขึ้น และต้นทุนต่อหน่วยลดลง</t>
  </si>
  <si>
    <t>งานด้านกฎหมาย ต้นทุนต่อหน่วยลดลง ร้อยละ 49.90 แต่ปริมาณหน่วยนับเพิ่มขึ้นร้อยละ 72.32 เนื่องจากปีงบประมาณ 2558 กลุ่มกฎหมายได้ตอบข้อหารือภายในและ</t>
  </si>
  <si>
    <t>การเจรจาและทำข้อตกลงด้านการลงทุนในเวทีระหว่างประเทศ ต้นทุนต่อหน่วยลดลงร้อยละ 56.62 ปริมาณหน่วยนับเพิ่มขึ้นมากกว่าร้อยละ 100 สืบเนื่องจากปีงบประมาณ 2557</t>
  </si>
  <si>
    <t>ได้วางแผนเจรจาและทำข้อตกลงด้านการลงทุนไว้ จำนวน 35 ครั้ง แต่ในปี 2557 ทำได้เพียง 18 ครั้ง อันเนื่องมาจากความไม่สงบทางการเมือง ดังนั้นในปี 2558 กองความร่วมมือการลงทุนต่างประเทศ</t>
  </si>
  <si>
    <t xml:space="preserve">การพัฒนาเทคโนโลยีสารสนเทศและการสื่อสาร เนื่องจากในปีงบประมาณ 2558 สำนักงานคณะกรรมส่งเสริมการลงทุน ได้มี 2 ผลผลิต 6 กิจกรรมหลัก </t>
  </si>
  <si>
    <t>และนักท่องเที่ยว ว่าประเทศไทยมีความพร้อมสำหรับการดำเนินธุรกิจ ทั้งในร่ะยะสั้นและระยะยาว รวมทั้งสร้างความเชื่อมั่นในระยะยาวว่าประเทศไทยเป็นศูนย์กลางทางเศรษฐกิจของภูมิภาค</t>
  </si>
  <si>
    <t>งานเสริมสร้างความรู้แก่ผู้ประกอบการถึงอุตสาหกรรมขนาดเล็กและขนาดกลาง (SMEs) ในด้านต่าง ๆ ได้แก่ Seminar/ Competitiveness Enhancement  จัดสัมมนาและประสานงาน</t>
  </si>
  <si>
    <t>การลงทุน ที่ 2/2557 เรื่อง นโยบายและหลักเกณฑ์การส่งเสริมการลงทุน ลงวันที่ 3 ธันวาคม 2557 มีผลบังคับใช้วันที่ 1 มกราคม 2558 ) โดยหมวดเกษตรกรรม และผลิตผลจากการเกษตร</t>
  </si>
  <si>
    <t>มีจำนวนคำขอรับการส่งเสริมสูงสุด คือ 587 โครงการ</t>
  </si>
  <si>
    <t>ภายนอกด้านสิทธิประโยชน์จากปี 2557 จำนวน 284 เรื่อง เป็นจำนวน 800 เรื่องในปี 2558 ทำให้ปริมาณหน่วยนับเพิ่มขึ้นมากกว่าร้อยละ 100 ส่งผลให้ต้นทุนต่อหน่วยลดลง</t>
  </si>
  <si>
    <t xml:space="preserve">การพัฒนาเทคโนโลยีสารสนเทศและการสื่อสาร เนื่องจากในปีงบประมาณ 2558 สำนักงานคณะกรรมส่งเสริมการลงทุน ได้มี 2 ผลผลิต 6 กิจกรรมหลัก จากเดิมปี 2557  </t>
  </si>
  <si>
    <t>ร้อยละ 100</t>
  </si>
  <si>
    <t>ปริมาณหน่วยนับ และต้นทุนต่อหน่วยเพิ่มขึ้นร้อยละ 100</t>
  </si>
  <si>
    <t>จากเดิมปี 2557  มี 1 ผลผลิต 5 กิจกรรมหลัก ซึ่งกิจกรรมหลัก การพัฒนาเทคโนโลยีสารสนเทศและการสื่อสาร เป็นกิจกรรมหลักที่เกิดขึ้นใหม่ ดังนั้นจึงทำให้ต้นทุนรวม</t>
  </si>
  <si>
    <t>มี 1 ผลผลิต 5 กิจกรรมหลัก ซึ่งกิจกรรมหลัก การพัฒนาเทคโนโลยีสารสนเทศและการสื่อสาร เป็นกิจกรรมหลักที่เกิดขึ้นใหม่ ดังนั้นจึงทำให้ต้นทุนรวมปริมาณหน่วยนับ และต้นทุนต่อหน่วยเพิ่มขึ้น</t>
  </si>
  <si>
    <t>ในปี 2558 รายการค่าจ้างที่ปรึกษา จำนวน 1,625,323.28 บาท ส่งผลให้ต้นทุนผันแปรเพิ่มขึ้น</t>
  </si>
  <si>
    <t xml:space="preserve">สนง.เศรษฐกิจการลงทุน ณ กรุงปารีส (0103200033) ต้นทุนผันแปรเพิ่มขึ้นร้อยละ 42.84 สืบเนื่องจากมีค่าใช้จ่ายในการย้ายถิ่นที่อยู่ของข้าราชการ </t>
  </si>
  <si>
    <t xml:space="preserve">ตามคำสั่ง สำนักงานคณะกรรมการส่งเสริมการลงทุนที่ 31/2558 เรื่องย้ายข้าราชการ ลงวันที่ 23 กุมภาพันธ์ 2558 จำนวน 1,187,925.43 บาท และมีเบิกจ่ายเงินกันเหลื่อมปี 2557 </t>
  </si>
  <si>
    <t xml:space="preserve">สนง.เศรษฐกิจการลงทุน ณ นครมุมไบ (0103200043) ต้นทุนผันแปรเพิ่มขึ้นร้อยละ 100 สืบเนื่องจากปี 2558 มีเบิกจ่ายเงินกันเหลื่อมปี 2557 </t>
  </si>
  <si>
    <t>รายการค่าจ้างที่ปรึกษา จำนวน 1,863,019.68 บาท</t>
  </si>
  <si>
    <t>จำนวน 13,495,996.68 บาท ในการดำเนินการจัดงานมหกรรมสินค้าอุตสาหกรรม ภายใต้โครงการจัดงาน SMEs  Expo ภูมิภาค เมื่อเทียบกับปี 2558 ทำให้ต้นทุนผันแปร</t>
  </si>
  <si>
    <t>สนง.เศรษฐกิจการลงทุน  ณ นครนิวยอร์ค</t>
  </si>
  <si>
    <t>จำนวนครั้งในการจัดฝึกอบรม E-expert ช่างฝีมือ น้อยกว่าปีงบประมาณ 2557 จึงทำให้ปริมาณหน่วยนับลดลง ส่งผลให้ต้นทุนต่อหน่วยเพิ่มขึ้น</t>
  </si>
  <si>
    <t xml:space="preserve">ฝึกอบรมเพื่อกระตุ้นและเป็นแนวทางในการพัฒนา เพิ่มขีดความสามารถในด้านการตลาด การจัดการการเงิน และเทคโนโลยี แก่ผู้ประกอบการไทย โดยเฉพาะผู้ผลิตขนาดกลางและขนาดเล็ก </t>
  </si>
  <si>
    <t>งานด้านการประชุม ต้นทุนต่อหน่วยลดลง ร้อยละ 21.41 ปริมาณหน่วยนับเพิ่มขึ้น ร้อยละ 43.94 สืบเนื่องจากปี 2557 เกิดเหตุการณ์ความไม่สงบทางการเมือง ทำให้งาน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</si>
  <si>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</si>
  <si>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</si>
  <si>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</si>
  <si>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</si>
  <si>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</si>
  <si>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</si>
  <si>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</si>
  <si>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</si>
  <si>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</si>
  <si>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ขาดทุนจากอัตราแลกเปลี่ยนเงินตราต่างประเทศ  (5202)</t>
  </si>
  <si>
    <t xml:space="preserve">        ค่าใช้จ่าย            บุคลากร              (อ5101)</t>
  </si>
  <si>
    <t xml:space="preserve">   ค่าใช้จ่ายด้านการ         ฝึกอบรม       (อ5102)</t>
  </si>
  <si>
    <t>งานจัดสัมมนา</t>
  </si>
  <si>
    <t>งานจัดกิจกรรม Door-knocking</t>
  </si>
  <si>
    <t>งานจัดกิจกรรม Networking</t>
  </si>
  <si>
    <t>กิจกรรมการชักจูงการลงทุนในประเทศ</t>
  </si>
  <si>
    <t>จำนวนการจัดกิจกรรมชักจูงการลงทุนของ สนง.ต่างประเทศ</t>
  </si>
  <si>
    <t>งานเผยแพร่นโยบายและให้บริการด้านการลงทุน</t>
  </si>
  <si>
    <t>งานประชาสัมพันธ์ในต่างประเทศ</t>
  </si>
  <si>
    <t>งานประชาสัมพันธ์ในประเทศ</t>
  </si>
  <si>
    <t>งานเอกสารเผยแพร่</t>
  </si>
  <si>
    <t>งานเผยแพร่ผ่าน Website</t>
  </si>
  <si>
    <t>งานวารสารส่งเสริมการลงทุน</t>
  </si>
  <si>
    <t>งานบริการลงทุน ศูนย์วีซ่าและหน่วยช่างฝีมือ</t>
  </si>
  <si>
    <t>งานประชุมเจรจาจัดทำข้อตกลงด้านการลงทุน</t>
  </si>
  <si>
    <t>งานส่งเสริมการลงทุนไทยในต่างประเทศ</t>
  </si>
  <si>
    <t>งานจ้างศึกษาเกี่ยวกับการส่งเสริมการลงทุน</t>
  </si>
  <si>
    <t>กิจกรรมตลาดกลางซื้อขายชิ้นส่วน</t>
  </si>
  <si>
    <t>กิจกรรมสัมมนาเพื่อกระตุ้นการพัฒนาขีดความสามารถผู้ประกอบการไทย</t>
  </si>
  <si>
    <t>งานพัฒนาศักยภาพและแก้ไขปัญหาอุตสาหกรรม</t>
  </si>
  <si>
    <t>งานขอรับการส่งเสริมการลงทุน</t>
  </si>
  <si>
    <t>งานด้านการเงินและบัญชี</t>
  </si>
  <si>
    <t>งานด้านการพัสดุ</t>
  </si>
  <si>
    <t>งานด้านบริหารบุคลากร</t>
  </si>
  <si>
    <t>งานด้านพัฒนาทรัพยากรบุคคล</t>
  </si>
  <si>
    <t>งานด้านตรวจสอบภายใน</t>
  </si>
  <si>
    <t>งานด้านเทคโนโลยีสารสนเทศภายในหน่วยงาน</t>
  </si>
  <si>
    <t>งานด้านเครือข่ายอินเตอร์เน็ตและเว็ปไซต์</t>
  </si>
  <si>
    <t>งานด้านแผนงาน</t>
  </si>
  <si>
    <t>งานด้านพัฒนาระบบบริหารราชการ</t>
  </si>
  <si>
    <t>งานด้านสารบรรณ</t>
  </si>
  <si>
    <t>งานด้านยานพาหนะ</t>
  </si>
  <si>
    <t>งานสนับสนุนการดำเนินงานของสำนักงานฯ</t>
  </si>
  <si>
    <t>งานด้านบัตรส่งเสริม</t>
  </si>
  <si>
    <t>งานด้านการประชุม</t>
  </si>
  <si>
    <t>งานด้านกฎหมาย</t>
  </si>
  <si>
    <t xml:space="preserve">กิจกรรมผู้ซื้อพบผู้ขาย </t>
  </si>
  <si>
    <t>งานปรับปรุงและพัมนาสนับสนุนอาเซียน (ASID)</t>
  </si>
  <si>
    <t>งานจัดทำแผ่นพับประชาสัมพันธ์</t>
  </si>
  <si>
    <t>กิจกรรมจัดนำผู้ผลิตชิ้นส่วนอุตสาหกรรมไทยร่วมงานแสดงชิ้นส่วนอุตสาหกรรมระดับนานาชาติ</t>
  </si>
  <si>
    <t>การจัด Thailand Overseas Invesment Forum</t>
  </si>
  <si>
    <t>งานด้านการบำรุงรักษาระบบคุณภาพมาตรฐาน ISO 9001</t>
  </si>
  <si>
    <t>งานศูนย์รับเรื่องราวร้องทุกข์ของสำนักงาน</t>
  </si>
  <si>
    <t>7. การจัดนำผู้ผลิตชิ้นส่วนอุตสาหกรรมไทยร่วมงานแสดงชิ้นส่วนอุตสาหกรรมระดับนานาชาติ</t>
  </si>
  <si>
    <t>งานส่งเสริมและชักจูงการลงทุนโดย สนง.ต่างประเทศ</t>
  </si>
  <si>
    <t>งานประชาสัมพันธ์เผยแพร่ผ่านสื่อ</t>
  </si>
  <si>
    <t>งานเจรจาและทำข้อตกลงด้านการลงทุน</t>
  </si>
  <si>
    <t>งานส่งเสริมการลงทุนไทยในต่างประเทศ (CLMV) /(ตลาดใหม่)</t>
  </si>
  <si>
    <t>งานจัดกิจกรรมผู้ซื้อพบผู้ขาย  (VMC)</t>
  </si>
  <si>
    <t>งานจัดกิจกรรมตลาดกลางซื้อขายชิ้นส่วน</t>
  </si>
  <si>
    <t>ขาดทุนจากอัตราแลกเปลี่ยนเงินตราต่างประเทศ</t>
  </si>
  <si>
    <t xml:space="preserve">    ค่าเสื่อมราคา        และค่าตัด            จำหน่าย          (อ5105)</t>
  </si>
  <si>
    <t xml:space="preserve">      ค่าตอบแทน           ใช้สอย        วัสดุและสาธารณูปโภค  (5104)</t>
  </si>
  <si>
    <t>ค่าจำหน่ายจากการขายสินทรัพย์      (อ5203)</t>
  </si>
  <si>
    <t>8. การจัดสัมมนาการส่งเสริมการลงทุนของไทยในภูมิภาคอาเซียน ( Thailand Overseas Investment Forum)</t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</si>
  <si>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งานเผยแพร่นโยบายและให้บริการด้านการลงทุน, งานออกแบบและผลิตงานสร้างสรรค์และประชาสัมพันธ์ และงานเอกสารเผยแพร่ มีต้นทุนรวมลดลงร้อยละ 38.90, 75.87 และ82.58 ปริมาณหน่วยนับลดลงร้อยละ 52.99, ร้อยละ 70 และร้อยละ 72.31 ตามลำดับ อันเนื่องมาจากปี 2558 มีการเบิกจ่ายเงินกันเหลื่อมปี 2557 จำนวน 14,693,570.06 บาท เป็นค่าจ้างที่ปรึกษาประชาสัมพันธ์ในประเทศและในต่างประเทศ, ค่าจ้างที่ปรึกษา Liaison Office ภายใต้ความตกลงหุ้นส่วนเศรษฐกิจ และค่าโฆษณาและประชาสัมพันธ์ในสื่อสถานีโทรทัศน์ต่างประเทศ CNBC และโฆษณาในนิตยสาร FORTUNE เมื่อเทียบกับปี 2559 จึงทำให้ต้นทุนรวมและปริมาณหน่วยนับลดลง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</si>
  <si>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งานบริการลงทุน ศูนย์วีซ่าและหน่วยงานช่างฝีมือ ต้นทุนต่อหน่วยลดลงร้อยละ 49.68 ปริมาณหน่วยนับเพิ่มขึ้นมากกว่าร้อยละ 100 สืบเนื่องจากปีงบประมาณ 2559 จำนวนครั้งในการจัดฝึกอบรม E-expert ช่างฝีมือ มีมากกว่าปีงบประมาณ 2558 จึงทำให้ปริมาณหน่วยนับเพิ่มขึ้น ส่งผลให้ต้นทุนต่อหน่วยลดลง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</si>
  <si>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งานส่งเสริมการลงทุนไทยในต่างประเทศ (CLMV)/(ตลาดใหม่) จำนวนหน่วยนับเพิ่มขึ้นมากกว่าร้อยละ 100 ต้นทุนต่อหน่วยลดลร้อยละ 71.68 และต้นทุนรวมลดลงร้อยละ 30.49 อันเนื่องมาจากในปี 2559 กองส่งเสริมการลงทุนไทยในต่างประเทศที่รับผิดชอบกิจกรรมย่อยนี้โดยตรง มีการจัดกิจกรรมสัมมนาและนำนักลงทุนไทยที่มีศักยภาพ (Potential Investor) ไปหาลู่ทางและโอกาสการลงทุนในประเทศเป้าหมายเพิ่มมากขึ้นเมื่อเทียบกับปี 2558 เพื่อเป็นการสนับสนุนให้ภาคเอกชนที่มีศักยภาพและมีความสามารถในการแข่งขัน ได้ขยายสาขาหรือย้ายฐานการผลิตไปในประเทศที่มีต้นทุนการผลิตต่ำกว่า หรือแหล่งที่มีวัตถุดิบที่จำเป็นต่อการผลิต เพื่อให้สามารถแข่งขันกับประเทศเพื่อนบ้านในการขยายตลาดและสร้างโอกาสทางธุรกิจใหม่ ๆ ให้กับภาคเอกชน ดังนั้นจึงทำให้ปริมาณหน่วยนับในปี 2559 เพิ่มมากขึ้น ส่งผลให้ต้นทุนต่อหน่วยลดลง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</si>
  <si>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การจัดสัมมนาการส่งเสิรมการลงทุนของไทยในภมิภาคอาเซียน ( Thailand Overseas Investment Forum) มีต้นทุนรวม หน่วยนับ และต้นทุนต่อหน่วยเพิ่มขึ้นร้อยละ 100 เนื่องมาจากกิจกรรมดังกล่าวเป็นกิจกรรมย่อยใหม่ของปี 2559 จึงทำให้ต้นทุนรวม หน่วยนับ และต้นทุนต่อหน่วยเพิ่มขึ้น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</si>
  <si>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งานปรับปรุงและพัฒนาสนับสนุนอาเซียน (ASID), งานจัดทำแผ่นพับประชาสัมพันธ์ มีต้นทุนรวม หน่วยนับ และต้นทุนต่อหน่วยเพิ่มขึ้นร้อยละ 100 เนื่องมาจากกิจกรรมดังกล่าวเป็นกิจกรรมย่อยใหม่ของปี 2559 จึงทำให้ต้นทุนรวม หน่วยนับ และต้นทุนต่อหน่วยเพิ่มขึ้น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</si>
  <si>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งานกิจกรรมผู้ซื้อพบผู้ขาย, งานจัดกิจกรรมตลาดกลางซื้อขายชิ้นส่วน และงานจัดกิจกรรมพัฒนาขีดความสามารถผู้ประกอบการไทย มีต้นทุนรวมเพิ่มขึ้นมากกว่าร้อยละ 100 และต้นทุนต่อหน่วยเพิ่มขึ้นมากว่าร้อยละ 100 อันเนื่องมาจากมีการเบิกจ่ายเงินกันเหลื่อมปี 2558 รายการค่าจ้างศึกษาห่วงโซ่อุปทาน (Supply Chain) งวดที่ 3-5 จำนวน 2,331,000 บาท ในปี 2559 และเนื่องจากกลุ่มส่งเสริมการเชื่อมโยงอุตสาหกรรม พัฒนาและถ่ายทอดเทคโนโลยี ที่ดูแลกิจกรรมย่อยดังกล่าวโดยตรง ได้มีการจัดสรรกิจกรรมย่อยในปี 2559 ใหม่ โดยนำกิจกรรมจัดนำผู้ผลิตชิ้นส่วนอุตสาหกรรมไทยร่วมงานแสดงชิ้นส่วนอุตสาหกรรมระดับนานาชาติแยกออกมาตั้งเป็นกิจกรรมหลัก ทำให้สัดส่วนในการปันส่วนต้นทุนค่าใช้จ่ายของกลุ่มส่งเสริมการเชื่อมโยงอุตสาหกรรม พัฒนาและถ่ายทอดเทคโนโลยีลดลงเมื่อเทียบกับปี 2558 ส่งผลให้ต้นทุนต่อหน่วยและต้นทุนรวมเพิ่มมากขึ้น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</si>
  <si>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งานขอรับการส่งเสริมการลงทุน มีต้นทุนต่อหน่วยเพิ่มขึ้นมากกว่าร้อยละ 100 และจำนวนโครงการลดลงร้อยละ 54.20 อันเนื่องมาจากในปี 2558 โครงการที่ขอรับการส่งเสริมการลงทุนมีจำนวนเพิ่มมากขึ้นเป็นพิเศษในช่วงเดือนธันวาคม 2557 เพราะนักลงทุนจำนวนมากประสงค์จะยื่นขอรับการส่งเสริมตามนโยบายเดิมที่จะสิ้นสุดลงในวันที่ 31 ธันวาคม 2557 (ประกาศสำนักงานคณะกรรมการส่งเสริมการลงทุน ที่ 2/2557 เรื่อง นโยบายและหลักเกณฑ์การส่งเสริมการลงทุน ลงวันที่ 3 ธันวาคม 2557 มีผลบังคับใช้วันที่ 1 มกราคม 2558) ดังนั้นเมื่อนำมาเปรียบเทียบกับปี 2559 จึงทำให้จำนวนโครงการลดลง ส่งผลให้ต้นทุนต่อหน่วยเพิ่มขึ้น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</si>
  <si>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งานพัฒนาศักภาพและแก้ไขปัญหาอุตสาหกรรม มีต้นทุนรวมลดลงร้อยละ 47.67 และต้นทุนต่อหน่วยลดลงร้อยละ 53.54 อันเนื่องมาจากปี 2559 สำนักพัฒนาปัจจัยสนับสนุนการลงทุนที่ดูแลกิจกรรมย่อยดังกล่าวโดยตรง ได้เพิ่มกิจกรรมย่อยใหม่คือ กิจกรรมการชักจูงการลงทุนในประเทศ รวมเป็น 2 กิจกรรมย่อย จากเดิมเพียง 1 กิจกรรมย่อย จึงทำให้สัดส่วนที่ใช้ในการปันส่วนต้นทุนค่าใช้ของสำนักพัฒนาปัจจัยสนับสนุนการลงทุนมีจำนวนเพิ่มมากขึ้นเมื่อเทียบกับปี 2558 ส่งผลทำให้ต้นทุนรวมและต้นทุนต่อหน่วยลดลง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</si>
  <si>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งานพัฒนาระบบบริหารราชการ มีต้นทุนรวมและต้นทุนต่อหน่วยลดลงร้อยละ 56.78 อันเนื่องมาจากกลุ่มพัฒนาระบบบริหารที่รับผิดชอบกิจกรรมย่อยดังกล่าวโดยตรง ได้เพิ่มกิจกรรมย่อยใหม่คือ งานด้านการบำรุงรักษาระบบคุณภาพมาตรฐาน ISO 9001 และงานศูนย์รับเรื่องราวร้องทุกข์ของสำนักงาน รวมเป็น 3 กิจกรรมย่อย จากเดิมมีเพียง 1 กิจกรรมย่อย จึงทำให้สัดส่วนที่ใช้ในการปันส่วนต้นทุนค่าใช้ของกลุ่มพัฒนาระบบบริหารมีจำนวนเพิ่มมากขึ้นเมื่อเทียบกับปี 2558 ส่งผลทำให้ต้นทุนรวมและต้นทุนต่อหน่วยลดลง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</si>
  <si>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งานด้านแผนงาน มีต้นทุนรวมและต้นทุนต่อหน่วยลดลงร้อยละ 44.38 อันเนื่องมาจากสำนักยุทธศาสตร์และนโยบายการลงทุนที่รับผิดชอบกิจกรรมย่อยดังกล่าวโดยตรง ได้เพิ่มกิจกรรมย่อยใหม่คือ กิจกรรมการชักจูงการลงทุนในประเทศ และงานจ้างศึกษาเกี่ยวกับการส่งเสริมการลงทุน รวมเป็น 3 กิจกรรมย่อย จากเดิมมีเพียง 1 กิจกรรมย่อย จึงทำให้สัดส่วนที่ใช้ในการปันส่วนต้นทุนค่าใช้ของสำนักยุทธศาสตร์และนโยบายการลงทุนมีจำนวนเพิ่มมากขึ้นเมื่อเทียบกับปี 2558 ส่งผลทำให้ต้นทุนรวมและต้นทุนต่อหน่วยลดลง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</si>
  <si>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งานด้านการบำรุงรักษาระบบคุณภาพมาตรฐาน ISO9001 และงานศูนย์รับเรื่องราวร้องทุกข์ของสำนักงาน มีต้นทุนรวม หน่วยนับ และต้นทุนต่อหน่วยเพิ่มขึ้นร้อยละ 100 เนื่องมาจากกิจกรรมดังกล่าวเป็นกิจกรรมย่อยใหม่ของปี 2559 จึงทำให้ต้นทุนรวม หน่วยนับ และต้นทุนต่อหน่วยเพิ่มขึ้น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</si>
  <si>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งานด้านกฎหมาย ต้นทุนต่อหน่วยลดลงร้อยละ 45.46 แต่ปริมาณหน่วยนับเพิ่มขึ้นมากกว่าร้อยละ 100 เนื่องจากปีงบประมาณ 2559 กลุ่มกฎหมายได้ตอบข้อหารือภายในและภายนอกด้านสิทธิประโยชน์จากปี 2558 จำนวน 800 เรื่อง เป็นจำนวน 1,182 เรื่องในปี 2559 ทำให้ปริมาณหน่วยนับเพิ่มขึ้นมากกว่าร้อยละ 100 ส่งผลให้ต้นทุนต่อหน่วยลดลง</t>
    </r>
  </si>
  <si>
    <r>
      <rPr>
        <u val="single"/>
        <sz val="16"/>
        <color indexed="8"/>
        <rFont val="TH SarabunPSK"/>
        <family val="2"/>
      </rPr>
      <t>กิจกรรมย่อย</t>
    </r>
    <r>
      <rPr>
        <sz val="16"/>
        <color indexed="8"/>
        <rFont val="TH SarabunPSK"/>
        <family val="2"/>
      </rPr>
      <t xml:space="preserve"> งานด้านเทคโนโลยีสารสนเทศภายในหน่วยงาน มีต้นทุนรวมและต้นทุนต่อหน่วยเพิ่มขึ้นร้อยละ 65.50 อันเนื่องมาจากมีการเบิกจ่ายเงินกันเหลื่อมปี 2558 จำนวน 7,287,782.06 บาท เป็นค่าจ้างเหมาบำรุงรักษาระบบคอมฯ, ระบบ Firewall -BOI, ระบบเครือข่าย Web Security, ระบบงานช่างฝีมือ E-expert System, ระบบฐานข้อมูลกลาง BOI Central Database, ระบบบริหารจัดการระบบคุณภาพ (ISO Management), ระบบบริการจัดการผู้ใช้แบบรวามศูนย์, ระบบงานตรวจสอบ และระบบสารบรรณอิเล็กทรอนิกส์ จึงทำให้ต้นทุนรวมและต้นทุนต่อหน่วยเพิ่มขึ้น </t>
    </r>
  </si>
  <si>
    <t>งานจ้างที่ปรึกษาเกี่ยวกับการส่งเสริมการลงทุน</t>
  </si>
  <si>
    <t>งานจัดกิจกรรม High-Level Image Enhancement Road Show</t>
  </si>
  <si>
    <t>งานเจาะหากลุ่มเป้าหมายและจัดกิจกรรมชักจูงการลงทุนเชิงลึก</t>
  </si>
  <si>
    <t xml:space="preserve">งานจ้างที่ปรึกษาชักจูงการลงทุนจากต่างประเทศ </t>
  </si>
  <si>
    <t>งานจ้างที่ปรึกษาชักจูงการลงทุนสำหรับ Country Desk</t>
  </si>
  <si>
    <t>งานพัฒนาระบบนำร่องการจัดหาและพัฒนาระบบ Single Window</t>
  </si>
  <si>
    <t>กิจกรรมการสร้างเครือข่ายและเพิ่มศักยภาพการลงทุน</t>
  </si>
  <si>
    <t>งานเสริมสร้างภาพลักษณ์การลงทุน</t>
  </si>
  <si>
    <t>กิจกรรมด้านประชาสัมพันธ์</t>
  </si>
  <si>
    <t>กิจกรรมด้านงบประมาณ</t>
  </si>
  <si>
    <t>กิจกรรมด้านอาคารและสถานที่</t>
  </si>
  <si>
    <t>กิจกรรมด้านวินัยและความรับผิดชอบ</t>
  </si>
  <si>
    <t>อัตรา</t>
  </si>
  <si>
    <t>จำนวนเงินงบประมาณที่ได้รับจัดสรร</t>
  </si>
  <si>
    <t>เรื่อง</t>
  </si>
  <si>
    <t>กิจกรรมกรรมย่อยของหน่วยงานสนับสนุน</t>
  </si>
  <si>
    <t>งานจ้างศึกษาเกี่ยวกับการส่งเสริมการลงทุน (สยท.)</t>
  </si>
  <si>
    <t>งานจ้างที่ปรึกษาชักจูงการลงทุนจากต่างประเทศ (ภาพรวม)</t>
  </si>
  <si>
    <t>กิจกรรมสร้างเครือข่ายและเพิ่มศักยภาพการลงทุน</t>
  </si>
  <si>
    <t>กิจกรรมด้านวินัยและความรับผิดทางละเมิด</t>
  </si>
  <si>
    <t>งานด้านอาคารและสถานที่</t>
  </si>
  <si>
    <t>งานด้านงบประมาณ</t>
  </si>
  <si>
    <t>งานจ้างที่ปรึกษาเกี่ยวกับการส่งเสริมการลงทุน (สยท.)</t>
  </si>
  <si>
    <t>งานเผยแพร่ประชาสัมพันธ์การพัฒนาการเชื่อมโยงการลงทุน</t>
  </si>
  <si>
    <t>รหัส</t>
  </si>
  <si>
    <t>กิจกรรมการพัฒนาศักยภาพและแก้ไขปัญหาอุตสาหกรรม</t>
  </si>
  <si>
    <t>การดำเนินภารกิจในต่างประเทศ</t>
  </si>
  <si>
    <t>การเจรจาและทำข้อตกลงด้านการลงทุนในเวทีระหว่างประเทศ</t>
  </si>
  <si>
    <t>การพัฒนาปัจจัยสนับสนุนการลงทุน</t>
  </si>
  <si>
    <t>การส่งเสริมการลงทุนไทยในต่างประเทศ</t>
  </si>
  <si>
    <t>การพัฒนาเทคโนโลยีสารสนเทศและการสื่อสาร</t>
  </si>
  <si>
    <t>การส่งเสริมการลงทุนในอุตสาหกรรมเป้าหมายและอุตสาหกรรมตามนโยบายรัฐบาล</t>
  </si>
  <si>
    <t>การดำเนินภารกิจในประเทศ</t>
  </si>
  <si>
    <t>การดำเนินงานบุคลากรเพื่อส่งเสริมการลงทุน</t>
  </si>
  <si>
    <t>การชักจูงการลงทุนในอุตสาหกรรมเป้าหมายและอุตสาหกรรมสำคัญตามนโยบายรัฐบาล</t>
  </si>
  <si>
    <t>รายการค่าใช้จ่ายบุคลากรภาครัฐ พัฒนาประสิทธิภาพและมูลค่าเพิ่มของภาคการผลิต บริการ การค้า และการลงทุน</t>
  </si>
  <si>
    <t>การลงทุนที่ได้รับการส่งเสริม</t>
  </si>
  <si>
    <t>โครงการส่งเสริมการลงทุนเพื่อเพิ่มความสามารถในการแข่งขันทั้งการลงทุนในประเทศและการลงทุนของไทยในต่างประเทศ</t>
  </si>
  <si>
    <t>โครงการจัดนำผู้ผลิตชิ้นส่วนอุตสาหกรรมไทยร่วมงานแสดงชิ้นส่วนอุตสาหกรรมระดับนานาชาติ</t>
  </si>
  <si>
    <t>การจัดสัมมนาการส่งเสริมการลงทุนของไทยในภูมิภาคอาเซียน         (Thailand Overseas Investment Forum)</t>
  </si>
  <si>
    <t>1. การดำเนินงานบุคลากรเพื่อส่งเสริมการลงทุน</t>
  </si>
  <si>
    <t>2. การดำเนินภารกิจในประเทศ</t>
  </si>
  <si>
    <t>3. การส่งเสริมการลงทุนในอุตสาหกรรมเป้าหมายและอุตสาหกรรมสำคัญตามนโยบายรัฐบาล</t>
  </si>
  <si>
    <t>6. การส่งเสริมการลงทุนไทยในต่างประเทศ</t>
  </si>
  <si>
    <t>7. การพัฒนาเทคโนโลยีสารสนเทศและการสื่อสาร</t>
  </si>
  <si>
    <t>8. การจัดนำผู้ผลิตชิ้นส่วนอุตสาหกรรมไทยร่วมงานแสดงชิ้นส่วนอุตสาหกรรมระดับนานาชาติ</t>
  </si>
  <si>
    <t>11. การพัฒนาระบบนำร่องการจัดหาและพัฒนาระบบ Single  Window ศูนย์บริการวีซ่าและใบอนุญาตทำงาน</t>
  </si>
  <si>
    <t>1. รายการค่าใช้จ่ายบุคลากรภาครัฐ พัฒนาประสิทธิภาพและมูลค่าเพิ่มของภาคการผลิต บริการ การค้า และการลงทุน</t>
  </si>
  <si>
    <t>2. การลงทุนในประเทศที่ได้รับการส่งเสริม</t>
  </si>
  <si>
    <t>3. โครงการส่งเสริมการลงทุนเพื่อเพิ่มความสามารถในการแข่งขันทั้งการลงทุนในประเทศและการลงทุนของไทยในต่างประเทศ</t>
  </si>
  <si>
    <t>4. โครงการจัดนำผู้ผลิตชิ้นส่วนอุตสาหกรรมไทยร่วมงานแสดงชิ้นส่วนอุตสาหกรรมระดับนานาชาติ</t>
  </si>
  <si>
    <t>5. โครงการพัฒนาระบบนำร่องการจัดหาและพัฒนาระบบ Single  Window ศูนย์บริการวีซ่าและใบอนุญาตทำงาน</t>
  </si>
  <si>
    <r>
      <rPr>
        <u val="single"/>
        <sz val="16"/>
        <color indexed="10"/>
        <rFont val="TH SarabunPSK"/>
        <family val="2"/>
      </rPr>
      <t>กิจกรรมย่อย</t>
    </r>
    <r>
      <rPr>
        <sz val="16"/>
        <color indexed="10"/>
        <rFont val="TH SarabunPSK"/>
        <family val="2"/>
      </rPr>
      <t xml:space="preserve"> กิจกรรมงานจัดกิจกรรม High-Level Image Enhancement Road Show มีต้นทุนรวม หน่วยนับ และต้นทุนต่อหน่วยเพิ่มขึ้นร้อยละ 100 เนื่องมาจากกิจกรรมดังกล่าวเป็นกิจกรรมย่อยใหม่ของปี 2560 จึงทำให้ต้นทุนรวม หน่วยนับ และต้นทุนต่อหน่วยเพิ่มขึ้น</t>
    </r>
  </si>
  <si>
    <t>งานให้คำปรึกษาแนะนำให้บริการด้านการลงทุน</t>
  </si>
  <si>
    <t>6.  ต้นทุนในการผลิตผลผลิตอื่น</t>
  </si>
  <si>
    <t xml:space="preserve">กองบริหารการลงทุน 1 </t>
  </si>
  <si>
    <t>กองบริหารการลงทุน 2</t>
  </si>
  <si>
    <t>กองบริหารการลงทุน 3</t>
  </si>
  <si>
    <t>กองบริหารการลงทุน 4</t>
  </si>
  <si>
    <t>กองบริหารการลงทุน 5</t>
  </si>
  <si>
    <t>กองส่งเสริมการลงทุนจากต่างประเทศ</t>
  </si>
  <si>
    <t>กองประสานและพัฒนาปัจจัยการลงทุน</t>
  </si>
  <si>
    <t>กองพัฒนาและเชื่อมโยงการลงทุน</t>
  </si>
  <si>
    <t xml:space="preserve">      ค่าตอบแทน           ใช้สอย               วัสดุและ         สาธารณูปโภค     (อ5104)</t>
  </si>
  <si>
    <t>ค่าใช้จ่ายเพื่อสนับสนุนงานศูนย์ประสานการบริการด้านการลงทุน (OSOS)</t>
  </si>
  <si>
    <t>งานประเมินผลการซื้อขายชิ้นส่วนอุตสาหกรรม</t>
  </si>
  <si>
    <t>การพัฒนาการเชื่อมโยงอุตสาหกรรม</t>
  </si>
  <si>
    <t>8. การพัฒนาการเชื่อมโยงอุตสาหกรรม</t>
  </si>
  <si>
    <t>ต้นทุนผลผลิตประจำปีงบประมาณ พ.ศ. 2561 (ต.ค. 60 - ก.ย. 61)</t>
  </si>
  <si>
    <t>ต้นทุนทางตรง ปีงบประมาณ พ.ศ. 2561</t>
  </si>
  <si>
    <t>0103200044</t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</si>
  <si>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กิจกรรมชักจูงการลงทุนจากต่างประเทศสำหรับพื้นที่ระเบียงเศรษฐกิจภาคตะวันออก (EEC)  มีปริมาณหน่วยนับ ต้นทุนต่อหน่วย และต้นทุนรวมเพิ่มขึ้นมากกว่าร้อยละ 100  เนื่องมาจากกิจกรรมย่อยดังกล่าวเป็นกิจกรรมย่อยใหม่ของปี 2561 จึงทำให้ต้นทุนรวม หน่วยนับ และต้นทุนต่อหน่วยเพิ่มขึ้น</t>
    </r>
  </si>
  <si>
    <t>กองยุทธศาสตร์และแผนงาน</t>
  </si>
  <si>
    <t>ปีงบประมาณ พ.ศ. 2561</t>
  </si>
  <si>
    <r>
      <rPr>
        <u val="single"/>
        <sz val="16"/>
        <color indexed="8"/>
        <rFont val="TH SarabunPSK"/>
        <family val="2"/>
      </rPr>
      <t>ผลผลิตหลัก</t>
    </r>
    <r>
      <rPr>
        <sz val="16"/>
        <color indexed="8"/>
        <rFont val="TH SarabunPSK"/>
        <family val="2"/>
      </rPr>
      <t xml:space="preserve"> การชักจูงการลงทุนจากต่างประเทศสำหรับพื้นที่ระเบียงเศรษฐกิจภาคตะวันออก (EEC) มีต้นทุนรวม ปริมาณหน่วยนับ และต้นทุนต่อหน่วยเพิ่มขึ้นร้อยละ 100 เนื่องจาก เนื่องมาจากผลผลิตหลักดังกล่าวเป็นผลผลิตหลักใหม่ของปี 2561 ตามงบประมาณรายจ่ายประจำปีงบประมาณ พ.ศ. 2561 จึงส่งผลทำให้ต้นทุนรวม ปริมาณหน่วยนับ และต้นทุนต่อหน่วยเพิ่มขึ้น</t>
    </r>
  </si>
  <si>
    <r>
      <rPr>
        <u val="single"/>
        <sz val="16"/>
        <color indexed="8"/>
        <rFont val="TH SarabunPSK"/>
        <family val="2"/>
      </rPr>
      <t>ผลผลิตหลัก</t>
    </r>
    <r>
      <rPr>
        <sz val="16"/>
        <color indexed="8"/>
        <rFont val="TH SarabunPSK"/>
        <family val="2"/>
      </rPr>
      <t xml:space="preserve"> โครงการจัดนำผู้ผลิตชิ้นส่วนอุตสาหกรรมไทยร่วมงานแสดงชิ้นส่วนอุตสาหกรรมระดับนานาชาติ มีต้นทุนรวม ปริมาณหน่วยนับ และต้นทุนต่อหน่วยลดลงร้อยละ 100 เนื่องมาจากในปี 2560 มีกิจกรรมย่อยที่อยู่ภายใต้ผลผลิตหลักโครงการจัดนำผู้ผลิตชิ้นส่วนอุตสาหกรรมไทยร่วมงานแสดงชิ้นส่วนอุตสาหกรรมระดับนานาชาติ คือ กิจกรรมจัดนำผู้ผลิตชิ้นส่วนอุตสาหกรรมไทยร่วมงานแสดงชิ้นส่วนอุตสาหกรรมระดับนานาชาติ แต่ในปี 2561 กิจกรรมย่อย กิจกรรมจัดนำผู้ผลิตชิ้นส่วนอุตสาหกรรมไทยร่วมงานแสดงชิ้นส่วนอุตสาหกรรมระดับนานาชาติ ได้กลายเป็นกิจกรรมย่อยภายใต้ผลผลิตหลักโครงการส่งเสริมการลงทุนเพื่อเพิ่มความสามารถในการแข่งขันทั้งการลงทุนในประเทศและการลงทุนของไทยในต่างประเทศ  จึงทำให้ต้นทุนรวม ปริมาณหน่วยนับ และต้นทุนต่อหน่วยลดลง</t>
    </r>
  </si>
  <si>
    <r>
      <rPr>
        <u val="single"/>
        <sz val="16"/>
        <color indexed="8"/>
        <rFont val="TH SarabunPSK"/>
        <family val="2"/>
      </rPr>
      <t>ผลผลิตหลัก</t>
    </r>
    <r>
      <rPr>
        <sz val="16"/>
        <color indexed="8"/>
        <rFont val="TH SarabunPSK"/>
        <family val="2"/>
      </rPr>
      <t xml:space="preserve"> โครงการพัฒนาระบบนำร่องการจัดหาและพัฒนาระบบ Single  Window ศูนย์บริการวีซ่าและใบอนุญาตทำงาน  มีต้นทุนรวม ปริมาณหน่วยนับ และต้นทุนต่อหน่วยลดลงร้อยละ 100  เนื่องมาจากสำนักงานคณะกรรมการส่งเสริมการลงทุนไม่สามารถก่อหนี้ผูกพันได้ภายในระยะเวลาที่กำหนด สำนักงบประมาณจึงดึงงบประมาณการพัฒนาระบบนำร่องการจัดหาและพัฒนาระบบ Single Window กลับ ส่งผลทำให้ต้นทุนรวม ปริมาณหน่วยนับ และต้นทุนต่อหน่วยลดลง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</si>
  <si>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กองส่งเสริมการลงทุนไทยในต่างประเทศ (0103200011) ต้นทุนผันแปรลดลงร้อยละ 37.02  เนื่องมาจากในปี 2560 กองส่งเสริมการลงทุนไทยในต่างประเทศได้รับงบประมาณการจัดสัมมนาการส่งเสริมการลงทุนของไทยในภูมิภาคอาเซียน ( Thailand Overseas Investment Forum) ซึ่งได้ดำเนินการจัดสัมมนาฯ เสร็จสิ้นแล้วในปี 2560 ดังนั้นปี 2561 จึงไม่ได้รับจัดสรรงบประมาณดังกล่าว เมื่อเทียบกับปี 2560 จึงทำให้ต้นทุนผันแปรลดลง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</si>
  <si>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งานจัดสัมนา, งานจัดกิจกรรม Door-knocking และงานจัดกิจกรรม Networking มีปริมาณหน่วยนับลดลงร้อยละ 50.77 ร้อยละ 34 และร้อยละ 10.53 ต้นทุนต่อหน่วยลดลงร้อยละ 26.56 ร้อยละ 29.57 ร้อยละ 37.75 และต้นทุนรวมลดลงร้อยละ 63.84  ร้อยละ 53.51 และร้อยละ 44.30 เนื่องมาจากในปี 2561 สำนักงานคณะกรรมการส่งเสริมการลงทุน ได้รับจัดสรรงบประมาณค่าใช้จ่ายการชักจูงการลงทุนจากต่างประเทศสำหรับพื้นที่ระเบียงเศรษฐกิจภาคตะวันออก (EEC) ภายใต้ผลผลิตการชักจูงการลงทุนจากต่างประเทศสำหรับพื้นที่ระเบียงเศรษฐกิจภาคตะวันออก (EEC)  ซึ่งเป็นผลผลิตใหม่ของปี 2561 จำนวน 33,000,000 บาท โดยกองส่งเสริมการลงทุนจากต่างประเทศรับผิดชอบ จำนวน 10,000,000 บาท ดังนั้นกองส่งเสริมการลงทุนจากต่างประเทศ จึงใช้งบประมาณในกิจกรรมย่อยงานจัดสัมนา, งานจัดกิจกรรม Door-knocking และงานจัดกิจกรรม Networking จากเงินงบประมาณค่าใช้จ่ายการชักจูงการลงทุนจากต่างประเทศสำหรับพื้นที่ระเบียงเศรษฐกิจภาคตะวันออก (EEC) ในปี 2561 แทน จึงทำให้กิจกรรมย่อยงานจัดสัมนา, งานจัดกิจกรรม Door-knocking และงานจัดกิจกรรม Networking มีต้นทุนรวม ปริมาณหน่วยนับ และต้นทุนต่อหน่วยลดลง</t>
    </r>
  </si>
  <si>
    <t>ศูนย์เทคโนโลยีสารสนเทศและการสื่อสาร</t>
  </si>
  <si>
    <t>สำนักงานเลขาธิการ</t>
  </si>
  <si>
    <t>งานช่วยอำนวยการ</t>
  </si>
  <si>
    <t>ต้นทุนผลผลิตประจำปีงบประมาณ พ.ศ. 2562 (ต.ค. 61 - ก.ย. 62)</t>
  </si>
  <si>
    <t>ตารางเปรียบเทียบผลการคำนวณต้นทุนผลผลิตระหว่างปีงบประมาณ พ.ศ. 2561 และปีงบประมาณ พ.ศ. 2562</t>
  </si>
  <si>
    <t>ตารางเปรียบเทียบผลการคำนวณต้นทุนผลผลิตระหว่างปีงบประมาณ พ.ศ. 2561 และ ปีงบประมาณ พ.ศ. 2562</t>
  </si>
  <si>
    <t>รายงานเปรียบเทียบผลการคำนวณต้นทุนผลผลิตระหว่างปีงบประมาณ พ.ศ. 2561 และปีงบประมาณ พ.ศ. 2562</t>
  </si>
  <si>
    <t>ต้นทุนทางตรง ปีงบประมาณ พ.ศ. 2562</t>
  </si>
  <si>
    <t>ปีงบประมาณ พ.ศ. 2562</t>
  </si>
  <si>
    <t>รายงานเปรียบเทียบผลการคำนวณต้นทุนผลผลิตระหว่างปีงบประมาณ พ.ศ. 2561 และปีงบประมาณ พ.ศ.2562</t>
  </si>
  <si>
    <t>สนง.เศรษฐกิจการลงทุน  ณ กรุงฮานอย</t>
  </si>
  <si>
    <t>สนง.เศรษฐกิจการลงทุน  ณ กรุงจาการ์ตา</t>
  </si>
  <si>
    <t>งานเจาะหากลุ่มเป้าหมายและจัดกิจกรรมชักจูงเชิงลึก</t>
  </si>
  <si>
    <t>งานส่งเสริมและพัฒนาการลงทุนไทยในต่างประเทศ</t>
  </si>
  <si>
    <t>งานรับข้อร้องเรียนระบบคุณภาพของสำนักงาน</t>
  </si>
  <si>
    <t>การชักจูงการลงทุนจากต่างประเทศสำหรับเขตพัฒนาพิเศษภาคตะวันออก (EEC)</t>
  </si>
  <si>
    <t>กิจกรรมชักจูงการลงทุนจากต่างประเทศสำหรับเขตพัฒนาพิเศษภาคตะวันออก (EEC)</t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</si>
  <si>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กิจกรรมด้านวินัยและความรับผิดทางละเมิด มีปริมาณหน่วยนับเพิ่มขึ้นร้อยละ 100 และต้นทุนต่อหน่วยลดลงร้อยละ 43.17 เนื่องมาจากในปี 2562 กลุ่มบริหารทรัพยากรบุคคลที่รับผิดชอบกิจกรรมย่อยดังกล่าวโดยตรง ได้จัดอบรมสัมมนาเกี่ยวกับงานด้านวินัยและความรับผิดทางละเมิด จำนวน 2 เรื่อง คือ 1. การเสริมสร้างวินัยจรรยาข้าราชการ และ 2. วิธีปฏิบัติราชการทางปกครองและความรับผิดทางละเมิดของเจ้าหน้าที่ แต่ในปี 2561 ไม่มีการจัดอบรมสัมมนาเรื่องดังกล่าว เมื่อนำมาเปรียบเทียบกับปี 2562 จึงส่งผลทำให้ปริมาณหน่วยนับเพิ่มขึ้น และต้นทุนต่อหน่วยลดลง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</si>
  <si>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งานเจรจาและทำข้อตกลงด้านการลงทุน มีปริมาณหน่วยนับลดลงร้อยละ 28.57 และต้นทุนต่อหน่วยเพิ่มขึ้นร้อยละ 49.94 เนื่องมาจากในปี 2562 ประเทศไทยเป็นเจ้าภาพในการรจัดประชุมสุดยอดอาเซียน หน่วยงานที่เกี่ยวข้องจึงให้ความสำคัญกับการจัดประชุมสุดยอดอาเซี่ยนก่อนเป็นอันดับแรก ดังนั้นจึงทำให้การประชุมอื่น ๆ ต้องเลื่อนไปจัดในช่วงต้นปีงบประมาณถัดไป ส่งผลทำให้การเข้าร่วมประชุมฯ ของสำนักงานคณะกรรมการส่งเสริมการลงทุนลดลงเมื่อเทียบกับปี 2561 อีกทั้งมีการประชุมที่ได้รับเชิญแบบกระชั้นชิด ทำให้กองความร่วมการลงทุนต่างประเทศที่รับผิดชอบกิจกรรมย่อยดังกล่าวโดยตรง ไม่สามารถจัดหาเจ้าหน้าที่ จัดสรรงบประมาณค่าใช้จ่ายได้ทัน จึงไม่สามารถเข้าร่วมประชุมได้ ส่งผลทำให้ปริมาณหน่วยนับลดลง และต้นทุนต่อหน่วยเพิ่มขึ้น</t>
    </r>
  </si>
  <si>
    <r>
      <rPr>
        <u val="single"/>
        <sz val="16"/>
        <color indexed="10"/>
        <rFont val="TH SarabunPSK"/>
        <family val="2"/>
      </rPr>
      <t>กิจกรรมย่อย</t>
    </r>
    <r>
      <rPr>
        <sz val="16"/>
        <color indexed="10"/>
        <rFont val="TH SarabunPSK"/>
        <family val="2"/>
      </rPr>
      <t xml:space="preserve"> ค่าใช้จ่ายเพื่อสนับสนุนงานศูนย์ประสานการบริการด้านการลงทุน (OSOS) มีปริมาณหน่วยนับลดลงร้อยละ 66.67 และต้นทุนต่อหน่วยเพิ่มขึ้นร้อยละ 100 เนื่องมาจากในปี 2561 ศูนย์ประสานการบริการด้านการลงทุนซึ่งรับผิดชอบกิจกรรมย่อยดังกล่าวโดยตรง ได้ดำเนินการจ้างเหมาบริการเพื่อสนับสนุนงานศูนย์ประสานการบริการด้านการลงทุน (OSOS) ด้วยวิธีประกวดอิเล็กทรอนิกส์ในครั้งแรก แต่ปรากฎว่าไม่มีผู้ผ่านการคัดเลือก เพื่อให้งานศูนย์ประสานการบริการด้านการลงทุนต่อเนื่อง ในระหว่างที่ดำเนินการจัดจ้างใหม่ จึงต้องจ้างเหมาบริการเพื่อสนับสนุนงานศูนย์ประสานการบริการด้านการลงทุน (OSOS) ด้วยวิธีเฉพาะเจาะจงไปพลางก่อน และดำเนินการจ้างเหมาบริการเพื่อสนับสนุนงานศูนย์ประสานการบริการด้านการลงทุน (OSOS) ใหม่อีกครั้งด้วยวิธีคัดเลือก ดังนั้นจึงมีปริมาณหน่วยนับ จำนวน 3 ครั้ง แต่ในปี 2562 การดำเนินการจ้างเหมาบริการเพื่อสนับสนุนงานศูนย์ประสานการบริการด้านการลงทุน (OSOS) สามารถดำเนินการเสร็จสิ้นในครั้งเดียว จึงมีปริมาณหน่วยนับ จำนวน 1 ครั้ง  เมื่อนำมาเปรียบเทียบกับปี 2561 จึงส่งผลทำให้ปริมาณหน่วยนับลดลง และต้นทุนต่อหน่วยเพิ่มขึ้น</t>
    </r>
  </si>
  <si>
    <t>7. การพัฒนาการเชื่อมโยงอุตสาหกรรม</t>
  </si>
  <si>
    <t>3. การดำเนินภารกิจในต่างประเทศ</t>
  </si>
  <si>
    <t>4. การเจรจาและทำข้อตกลงด้านการลงทุนในเวทีระหว่างประเทศ</t>
  </si>
  <si>
    <t>5. การพัฒนาปัจจัยสนับสนุนการลงทุน</t>
  </si>
  <si>
    <t>9. การชักจูงการลงทุนในอุตสาหกรรมเป้าหมายและอุตสาหกรรมสำคัญตามนโยบายรัฐบาล</t>
  </si>
  <si>
    <t>0103200046</t>
  </si>
  <si>
    <t>0103200047</t>
  </si>
  <si>
    <r>
      <rPr>
        <u val="single"/>
        <sz val="16"/>
        <color indexed="10"/>
        <rFont val="TH SarabunPSK"/>
        <family val="2"/>
      </rPr>
      <t>ต้นทุนทางอ้อม</t>
    </r>
    <r>
      <rPr>
        <sz val="16"/>
        <color indexed="10"/>
        <rFont val="TH SarabunPSK"/>
        <family val="2"/>
      </rPr>
      <t xml:space="preserve"> ค่าใช้จ่ายเดินทาง ต้นทุนผันแปรลดลงร้อยละ 100 เนื่องมาจากในปี 2560 รายการค่าผ่านทางรถยนต์ส่วนกลาง จะอยู่ในความรับผิดชอบของส่วนกลาง ซึ่งจะมีการปันส่วนโดยใช้เกณฑ์การปันส่วนค่าใช้จ่ายทางอ้อมให้กับศูนย์ต้นทุนต่าง ๆ แต่ในปี 2561 สำนักงานคณะกรรมการส่งเสริมการลงทุนได้วิเคราะห์แล้วให้ค่าใช้จ่ายทั้งหมดที่เกี่ยวกับรถยนต์ส่วนกลาง อยู่ในความรับผิดชอบของกลุ่มบริหารงานทั่วไป ซึ่งรวมถึงรายการค่าผ่านทางรถยนต์ส่วนกลางด้วย ดังนั้นในปี 2561 จึงไม่มีรายการค่าใช้จ่ายเดินทางที่เป็นต้นทุนทางอ้อม และเมื่อเปรีบบเทียบกับปี 2560 จึงส่งผลทำให้ต้นผันแปรลดลง</t>
    </r>
  </si>
  <si>
    <r>
      <rPr>
        <u val="single"/>
        <sz val="16"/>
        <color indexed="8"/>
        <rFont val="TH SarabunPSK"/>
        <family val="2"/>
      </rPr>
      <t>ต้นทุนทางอ้อม</t>
    </r>
    <r>
      <rPr>
        <sz val="16"/>
        <color indexed="8"/>
        <rFont val="TH SarabunPSK"/>
        <family val="2"/>
      </rPr>
      <t xml:space="preserve"> ค่าจำหน่ายจากการขายสินทรัพย์ ต้นทุนผันแปรและต้นทุนรวมลดลงร้อยละ 100 เนื่องมาจากในปี 2561 สำนักงานคณะกรรมการส่งเสริมการลงทุนมีการขายทอดตลาดครุภัณฑ์ที่ชำรุดแล้วแต่ยังไม่หมดอายุการใช้งาน ได้แก่ เครื่องโทรสาร brother MFC-9120 CN และทีวีสีซัมซุง รุ่น UA 46D7000LR ซึ่งในปี 2562 ไม่มีรายการดังกล่าว ส่งผลทำให้ต้นทุนผันแปรและต้นทุนรวมลดลง</t>
    </r>
  </si>
  <si>
    <t>8. การชักจูงการลงทุนจากต่างประเทศสำหรับเขตพัฒนาพิเศษภาคตะวันออก (EEC)</t>
  </si>
  <si>
    <t>10. การชักจูงการลงทุนจากต่างประเทศสำหรับเขตพัฒนาพิเศษภาคตะวันออก (EEC)</t>
  </si>
  <si>
    <t>4.การชักจูงการลงทุนจากต่างประเทศสำหรับเขตพัฒนาพิเศษภาคตะวันออก (EEC)</t>
  </si>
  <si>
    <r>
      <t>ผลผลิตย่อย</t>
    </r>
    <r>
      <rPr>
        <sz val="16"/>
        <rFont val="TH SarabunPSK"/>
        <family val="2"/>
      </rPr>
      <t xml:space="preserve"> การเจรจาและทำข้อตกลงด้านการลงทุนในเวทีระหว่างประเทศ มีปริมาณหน่วยนับลดลงร้อยละ 28.57 และต้นทุนต่อหน่วยเพิ่มขึ้นร้อยละ 49.94 เนื่องมาจากในปี 2562 ประเทศไทยเป็นเจ้าภาพในการรจัดประชุมสุดยอดอาเซียน หน่วยงานที่เกี่ยวข้องจึงให้ความสำคัญกับการจัดประชุมสุดยอดอาเซี่ยนก่อนเป็นอันดับแรก ดังนั้นจึงทำให้การประชุมอื่น ๆ ต้องเลื่อนไปจัดในช่วงต้นปีงบประมาณถัดไป ส่งผลทำให้การเข้าร่วมประชุมฯ ของสำนักงานคณะกรรมการส่งเสริมการลงทุนลดลงเมื่อเทียบกับปี 2561 อีกทั้งมีการประชุมที่ได้รับเชิญแบบกระชั้นชิด ทำให้กองความร่วมการลงทุนต่างประเทศที่รับผิดชอบผลผลิตย่อยดังกล่าวโดยตรง ไม่สามารถจัดหาเจ้าหน้าที่ จัดสรรงบประมาณค่าใช้จ่ายได้ทัน จึงไม่สามารถเข้าร่วมประชุมได้ ส่งผลทำให้ปริมาณหน่วยนับลดลง และต้นทุนต่อหน่วยเพิ่มขึ้น</t>
    </r>
  </si>
  <si>
    <r>
      <rPr>
        <u val="single"/>
        <sz val="16"/>
        <color indexed="10"/>
        <rFont val="TH SarabunPSK"/>
        <family val="2"/>
      </rPr>
      <t>กิจกรรมหลัก</t>
    </r>
    <r>
      <rPr>
        <sz val="16"/>
        <color indexed="10"/>
        <rFont val="TH SarabunPSK"/>
        <family val="2"/>
      </rPr>
      <t xml:space="preserve"> การพัฒนาปัจจัยสนับสนุนการลงทุน มีต้นทุนรวมลดลงร้อยละ 51.03 และต้นทุนต่อหน่วยลดลงร้อยละ 54.75 เนื่องมาจากิจกรรมย่อย กิจกรรมผู้ซื้อพบผู้ขาย กิจกรรมตลาดกลางซื้อขายชิ้นส่วน กิจกรรมสัมมนาเพื่อกระตุ้นการพัฒนาขีดความสามารถผู้ประกอบการไทย และงานเผยแพร่ประชาสัมพันธ์การพัฒนาการเชื่อมโยงการลงทุน ที่อยู่ภายใต้กิจกรรมหลักดังกล่าวในปี 2560 ได้แยกออกไปตั้งเป็นกิจกรรมหลักใหม่ในปี 2561 คือ กิจกรรมหลักการพัฒนาการเชื่อมโยงอุตสาหกรรม ทำให้ในปี 2561 คงเหลือกิจกรรมย่อยภายใต้กิจกรรมหลักการพัฒนาปัจจัยสนับสนุนการลงทุนเพียงกิจกรรมเดียว คือ งานส่งเสริมการลงทุนไทยในต่างประเทศ ดังนั้นเมื่อเทียบกับปี 2560  จึงส่งผลทำให้ต้นทุนรวมและต้นทุนต่อหน่วยลดลง</t>
    </r>
  </si>
  <si>
    <r>
      <rPr>
        <u val="single"/>
        <sz val="16"/>
        <color indexed="10"/>
        <rFont val="TH SarabunPSK"/>
        <family val="2"/>
      </rPr>
      <t>กิจกรรมหลัก</t>
    </r>
    <r>
      <rPr>
        <sz val="16"/>
        <color indexed="10"/>
        <rFont val="TH SarabunPSK"/>
        <family val="2"/>
      </rPr>
      <t xml:space="preserve"> การจัดนำผู้ผลิตชิ้นส่วนอุตสาหกรรมไทยร่วมงานแสดงชิ้นส่วนอุตสาหกรรมระดับนานาชาติ มีต้นทุนรวม ปริมาณหน่วยนับ และต้นทุนต่อหน่วยลดลงร้อยละ 100 เนื่องมาจากในปี 2560 มีกิจกรรมย่อยที่อยู่ภายใต้กิจกรรมหลักการจัดนำผู้ผลิตชิ้นส่วนอุตสาหกรรมไทยร่วมงานแสดงชิ้นส่วนอุตสาหกรรมระดับนานาชาติ คือ กิจกรรมจัดนำผู้ผลิตชิ้นส่วนอุตสาหกรรมไทยร่วมงานแสดงชิ้นส่วนอุตสาหกรรมระดับนานาชาติ แต่ในปี 2561 กิจกรรมย่อย กิจกรรมจัดนำผู้ผลิตชิ้นส่วนอุตสาหกรรมไทยร่วมงานแสดงชิ้นส่วนอุตสาหกรรมระดับนานาชาติ ได้กลายเป็นกิจกรรมย่อยภายใต้กิจกรรมหลักการพัฒนาการเชื่อมโยงอุตสาหกรรม จึงทำให้ต้นทุนรวม ปริมาณหน่วยนับ และต้นทุนต่อหน่วยลดลง</t>
    </r>
  </si>
  <si>
    <r>
      <rPr>
        <u val="single"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การเจรจาและทำข้อตกลงด้านการลงทุนในเวทีระหว่างประเทศ มีปริมาณหน่วยนับลดลงร้อยละ 28.57 และต้นทุนต่อหน่วยเพิ่มขึ้นร้อยละ 38.89 เนื่องมาจากในปี 2562 ประเทศไทยเป็นเจ้าภาพในการรจัดประชุมสุดยอดอาเซียน หน่วยงานที่เกี่ยวข้องจึงให้ความสำคัญกับการจัดประชุมสุดยอดอาเซี่ยนก่อนเป็นอันดับแรก ดังนั้นจึงทำให้การประชุมอื่น ๆ ต้องเลื่อนไปจัดในช่วงต้นปีงบประมาณถัดไป ส่งผลทำให้การเข้าร่วมประชุมฯ ของสำนักงานคณะกรรมการส่งเสริมการลงทุนลดลงเมื่อเทียบกับปี 2561 อีกทั้งมีการประชุมที่ได้รับเชิญแบบกระชั้นชิด ทำให้กองความร่วมการลงทุนต่างประเทศที่รับผิดชอบกิจกรรมหลักดังกล่าวโดยตรง ไม่สามารถจัดหาเจ้าหน้าที่ จัดสรรงบประมาณค่าใช้จ่ายได้ทัน จึงไม่สามารถเข้าร่วมประชุมได้ ส่งผลทำให้ปริมาณหน่วยนับลดลง และต้นทุนต่อหน่วยเพิ่มขึ้น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</si>
  <si>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กิจกรรมจัดนำผู้ผลิตชิ้นส่วนอุตสาหกรรมไทยร่วมงานแสดงชิ้นส่วนอุตสาหกรรมระดับนานาชาติ มีปริมาณหน่วยนับลดลงร้อยละ 33.33 และต้นทุนต่อหน่วยเพิ่มขึ้นร้อยละ 29.23 เนื่องมาจากในปี 2562 กองพัฒนาและเชื่อมโยงการลงทุนที่รับผิดชอบกิจกรรมย่อยดังกล่าวโดยตรง ไม่มีแผนเข้าร่วมกิจกรรมบางกิจกรรมที่เคยเข้าร่วมในปี 2561 เช่น กิจกรรม Asean Fair ที่สาธารณรัฐประชาธิปไตยประชาชนลาว, กิจกรรม BANGLAAUTO ที่สาธารณรัฐประชาชนบังกลาเทศ, กิจกรรม International Metal Working Philipines ที่สาธารณรัฐฟิลิปปินส์ และกิจกรรม Hannover Messe ที่สหพันธ์สาธารณรัฐเยอรมนี ฯลฯ เนื่องจากกิจกรรมดังกล่าวจัดไม่ต่อเนื่องทุกปี และไม่ตรงกับความต้องการหรือศักยภาพของผู้ประกอบการไทยโดยตรง ดังนั้นในปี 2562 กองพัฒนาและเชื่อมโยงการลงทุนจึงพิจารณาไม่เข้าร่วมกิจกรรมดังกล่าว จึงส่งผลทำให้ปริมาณหน่วยนับลดลง และต้นทุนต่อหน่วยเพิ่มขึ้น</t>
    </r>
  </si>
  <si>
    <r>
      <t>ผลผลิตย่อย</t>
    </r>
    <r>
      <rPr>
        <sz val="16"/>
        <rFont val="TH SarabunPSK"/>
        <family val="2"/>
      </rPr>
      <t xml:space="preserve"> การพัฒนาการเชื่อมโยงอุตสาหกรรม มีปริมาณหน่วยนับลดลงร้อยละ 33.33 และต้นทุนต่อหน่วยเพิ่มขึ้นร้อยละ 29.23 เนื่องมาจากในปี 2562 กองพัฒนาและเชื่อมโยงการลงทุนที่รับผิดชอบผลผลิตย่อยดังกล่าวโดยตรง ไม่มีแผนเข้าร่วมกิจกรรมบางกิจกรรมที่เคยเข้าร่วมในปี 2561 เช่น กิจกรรม Asean Fair ที่สาธารณรัฐประชาธิปไตยประชาชนลาว, กิจกรรม BANGLAAUTO ที่สาธารณรัฐประชาชนบังกลาเทศ, กิจกรรม International Metal Working Philipines ที่สาธารณรัฐฟิลิปปินส์ และกิจกรรม Hannover Messe ที่สหพันธ์สาธารณรัฐเยอรมนี ฯลฯ เนื่องจากกิจกรรมดังกล่าวจัดไม่ต่อเนื่องทุกปี และไม่ตรงกับความต้องการหรือศักยภาพของผู้ประกอบการไทยโดยตรง ดังนั้นในปี 2562 กองพัฒนาและเชื่อมโยงการลงทุนจึงพิจารณาไม่เข้าร่วมกิจกรรมดังกล่าว จึงส่งผลทำให้ปริมาณหน่วยนับลดลง และต้นทุนต่อหน่วยเพิ่มขึ้น</t>
    </r>
  </si>
  <si>
    <r>
      <rPr>
        <u val="single"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การพัฒนาการเชื่อมโยงอุตสาหกรรม มีปริมาณหน่วยนับลดลงร้อยละ 33.33 และต้นทุนต่อหน่วยเพิ่มขึ้นร้อยละ 26 เนื่องมาจากในปี 2562 กองพัฒนาและเชื่อมโยงการลงทุนที่รับผิดชอบกิจกรรมหลักดังกล่าวโดยตรง ไม่มีแผนเข้าร่วมกิจกรรมบางกิจกรรมที่เคยเข้าร่วมในปี 2561 เช่น กิจกรรม Asean Fair ที่สาธารณรัฐประชาธิปไตยประชาชนลาว, กิจกรรม BANGLAAUTO ที่สาธารณรัฐประชาชนบังกลาเทศ, กิจกรรม International Metal Working Philipines ที่สาธารณรัฐฟิลิปปินส์ และกิจกรรม Hannover Messe ที่สหพันธ์สาธารณรัฐเยอรมนี ฯลฯ เนื่องจากกิจกรรมดังกล่าวจัดไม่ต่อเนื่องทุกปี และไม่ตรงกับความต้องการหรือศักยภาพของผู้ประกอบการไทยโดยตรง ดังนั้นในปี 2562 กองพัฒนาและเชื่อมโยงการลงทุนจึงพิจารณาไม่เข้าร่วมกิจกรรมดังกล่าว จึงส่งผลทำให้ปริมาณหน่วยนับลดลง และต้นทุนต่อหน่วยเพิ่มขึ้น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</si>
  <si>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กองยุทธศาสตร์และแผนงาน (0103200015) ต้นทุนผันแปรเพิ่มขึ้นร้อยละ 27.45 เนื่องมาจากในปี 2562 มีการเบิกจ่ายเงินกันเหลื่อมปี 2561 รายการค่าจ้างที่ปรึกษาด้านวิจัยเศรษฐกิจการลงทุน, ค่าจ้างที่ปรึกษาประเมินผลนโยบายส่งเสริมการลงทุน และค่าจ้างที่ปรึกษาเพื่อพัฒนาการจัดการความรู้ ฯ เป็นจำนวน 5,254,249.20 บาท ซึ่งในปี 2561 ไม่มีรายการดังกล่าว ดังนั้นเมื่อเปรียบเทียบกับปี 2562 จึงทำให้ต้นทุนผันแปรเพิ่มขึ้น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</si>
  <si>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กองบริหารการลงทุน 2 (0103200020) ต้นทุนผันแปรลดลงร้อยละ 27.49 เนื่องมากจากในปี 2562 มีค่าใช้จ่ายในการจัดทำตรายางและนามบัตรลดลงเมื่อเทียบกับปี 2561 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</si>
  <si>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กองบริหารการลงทุน 3 (0103200021) ต้นทุนผันแปรลดลงร้อยละ 35.17 เนื่องมาจากในปี 2562 มีค่าใช้จ่ายในการจัดทำตรายางและนามบัตรลดลงเมื่อเทียบกับปี 2561 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</si>
  <si>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กองบริหารการลงทุน 4 (0103200022) ต้นทุนผันแปรลดลงร้อยละ 66.62  เนื่องมาจากในปี 2562 มีค่าใช้จ่ายในการจัดทำตรายางและนามบัตรลดลงเมื่อเทียบกับปี 2561 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</si>
  <si>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กองบริหารการลงทุน 5 (0103200044) ต้นทุนผันแปรลดลงร้อยละ 86.70  เนื่องมาจากในปี 2561 มีค่าใช้จ่ายรายการค่าครุภัณฑ์ต่ำกว่าเกณฑ์ จำนวน 32,499.92 บาท แต่ในปี 2562 ไม่มีรายการดังกล่าว ดังนั้นเมื่อเทียบกับปี 2561 จึงส่งผลทำให้ต้นทุนผันแปรลดลง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</si>
  <si>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สำนักงานเศรษฐกิจการลงทุน ณ กรุงโตเกียว (0103200034) ต้นทุนผันแปรลดลงร้อยละ 36.05 เนื่องมาจากในปี 2561 มีค่าใช้จ่ายเดินทางไปประจำการที่สำนักงานเศรษฐกิจการลงทุน ณ กรุงโตเกียว ของคุณสุธาสินี โยชิอิ จำนวน 2,458,093.25 บาท ซึ่งในปี 2562 ไม่มีรายการดังกล่าว จึงส่งผลทำให้ต้นทุนผันแปรลดลง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</si>
  <si>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สำนักงานเศรษฐกิจการลงทุน ณ กรุงสตอกโฮล์ม (0103200041) ต้นทุนผันแปรลดลงร้อยละ 27.59 เนื่องมาจากในปี 2561 มีการจ้างที่ปรึกษา จำนวน 2,902,049.29 บาท แต่ในปี 2562 ไม่มีรายการดังกล่าว 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</si>
  <si>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ประจำการสถานกงสุลใหญ่ ณ นครซิดนีย์ (0103200042) ต้นทุนผันแปรเพิ่มขึ้นร้อยละ 32.25 เนื่องมาจากในปี 2561 รายการค่าจ้างที่ปรึกษามีการยกเลิกสัญญาและจ่ายค่าจ้างไม่ครบทั้งปี จำนวน 529,871.43 บาท แต่ในปี 2562 มีการจ่ายค่าจ้างที่ปรึกษาครบทั้งปี จำนวน 2,768,542.91 บาท ดังนั้นเมื่อนำมาเปรียบเทียบกัน จึงส่งผลทำให้ต้นทุนผันแปรเพิ่มขึ้น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</si>
  <si>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สำนักงานเศรษฐกิจการลงทุน  ณ กรุงฮานอย (0103200046)  ต้นทุนคงที่ ต้นทุนผันแปร และต้นทุนรวมเพิ่มขึ้นมากกว่าร้อยละ 100 เนื่องจากสำนักงานเศรษฐกิจการลงทุน  ณ กรุงฮานอย เป็นศูนย์ต้นทุนใหม่ของปี 2562 จึงส่งผลทำให้ต้นทุนคงที่ ต้นทุนผันแปร และต้นทุนรวมเพิ่มขึ้น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</si>
  <si>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สำนักงานเศรษฐกิจการลงทุน  ณ กรุงจาการ์ตา (0103200047)  ต้นทุนคงที่ ต้นทุนผันแปร และต้นทุนรวมเพิ่มขึ้นมากกว่าร้อยละ 100 เนื่องจากสำนักงานเศรษฐกิจการลงทุน  ณ กรุงจาการ์ตา เป็นศูนย์ต้นทุนใหม่ของปี 2562 จึงส่งผลทำให้ต้นทุนคงที่ ต้นทุนผันแปร และต้นทุนรวมเพิ่มขึ้น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</si>
  <si>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กลุ่มบริหารงานคลังและพัสดุ (0103200005) ต้นทุนผันแปรลดลงร้อยละ 63.72 เนื่องมาจากในปีงบประมาณ 2561 กลุ่มบริหารงานคลังและพัสดุมีการจัดซื้อวัสดุสำนักงาน จำนวน 72,760 บาท แต่ในปี 2562 มีการจัดซื้อวัสดุสำนักงาน จำนวน 35,932.63 บาท เมื่อนำมาเปรียบเทียบกัน จึงส่งผลทำให้ต้นทุนผันแปรลดลง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</si>
  <si>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กลุ่มบัตรส่งเสริม (0103200007) ต้นทุนผันแปรลดลงร้อยละ 32.86 เนื่องมาจากในปีงบประมาณ 2561 มีการจัดซื้อจัดจ้างพิมพ์ปกบัตรส่งเสริมและกระดาษคองเกอเรอร์สำหรับพิมพ์บัตรส่งเสริม จำนวน 269,640 บาท แต่ในปี 2562 มีการจัดซื้อจัดจ้างพิมพ์ปกบัตรส่งเสริม จำนวน 96,000 บาท เมื่อนำมาเปรียบเทียบกัน จึงส่งผลทำให้ต้นทุนผันแปรลดลง</t>
    </r>
  </si>
  <si>
    <t>ตารางที่ 1 รายงานต้นทุนรวมของหน่วยงาน โดยแยกประเภทตามแหล่งของเงิน</t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</si>
  <si>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งานบริการลงทุน ศูนย์วีซ่าและหน่วยช่างฝีมือ มีปริมาณหน่วยนับลดลงร้อยละ 33.33 และต้นทุนต่อหน่วยเพิ่มขึ้นร้อยละ 57.55 เนื่องมาจากในปี 2561 มีการเปิดใช้งานระบบ Single Window for Visa and Work Permit เป็นครั้งแรก จึงมีการจัดอบรมสัมมนาเกี่ยวกับการใช้งานระบบดังกล่าวหลายครั้ง โดยเฉพาะในช่วงเดือนพฤศจิกายน-ธันวาคม 2561 จำนวน 19 ครั้ง แต่ในปี 2562 ศูนย์ประสานบริการด้านการลงทุนที่รับผิดชอบกิจกรรมย่อยดังกล่าวโดยตรง ได้ปรับแผนการจัดอบรมสัมมนาเกี่ยวกับการใช้งานผ่านระบบ Single Window for Visa and Work Permit ลดลงเนื่องจากมีการเปิดใช้งานระบบได้ระยะเวลาหนึ่ง โดยในช่วงเดือนพฤศจิกายน-ธันวาคม 2562 จำนวน 8 ครั้ง เมื่อนำมาเปรียบเทียบกับปี 2561 จึงส่งผลทำให้ปริมาณหน่วยนับลดลง และต้นทุนต่อหน่วยเพิ่มขึ้น</t>
    </r>
  </si>
  <si>
    <r>
      <t>ผลผลิตย่อย</t>
    </r>
    <r>
      <rPr>
        <sz val="16"/>
        <rFont val="TH SarabunPSK"/>
        <family val="2"/>
      </rPr>
      <t xml:space="preserve"> การชักจูงการลงทุนจากต่างประเทศสำหรับเขตพัฒนาพิเศษภาคตะวันออก (EEC)  มีปริมาณหน่วยนับเพิ่มขึ้นร้อยละ 16.67 และต้นทุนต่อหน่วยลดลงร้อยละ 33.51 เนื่องมาจากในปี 2562 มีการจัดกิจกรรมเพิ่มขึ้นเมื่อเทียบกับปี 2561 เช่น การจัดกิจกรรมหารือนักลงทุนในกลุ่มอุตสาหกรรมอิเล็กทรอนิกส์ที่ไต้หวัน และกิจกรรมเข้าร่วมงาน ASEAN Business and Investment Summit 2018 ที่สิงคโปร์ ซึ่งในปี 2561 ไม่มีการจัดกิจกรรมดังกล่าว ดังนั้นเมื่อนำมาเปรียบเทียบกันจึงทำให้มีปริมาณหน่วยนับเพิ่มขึ้น และส่งผลให้ต้นทุนต่อหน่วยลดลง</t>
    </r>
  </si>
  <si>
    <r>
      <rPr>
        <u val="single"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การชักจูงการลงทุนจากต่างประเทศสำหรับเขตพัฒนาพิเศษภาคตะวันออก (EEC) มีปริมาณหน่วยนับเพิ่มขึ้นร้อยละ 16.67 และต้นทุนต่อหน่วยลดลงร้อยละ 34.93เนื่องมาจากในปี 2562 มีการจัดกิจกรรมเพิ่มขึ้นเมื่อเทียบกับปี 2561 เช่น การจัดกิจกรรมหารือนักลงทุนในกลุ่มอุตสาหกรรมอิเล็กทรอนิกส์ที่ไต้หวัน และกิจกรรมเข้าร่วมงาน ASEAN Business and Investment Summit 2018 ที่สิงคโปร์ ซึ่งในปี 2561 ไม่มีการจัดกิจกรรมดังกล่าว ดังนั้นเมื่อนำมาเปรียบเทียบกันจึงทำให้มีปริมาณหน่วยนับเพิ่มขึ้น และส่งผลให้ต้นทุนต่อหน่วยลดลง</t>
    </r>
  </si>
  <si>
    <r>
      <rPr>
        <u val="single"/>
        <sz val="16"/>
        <color indexed="8"/>
        <rFont val="TH SarabunPSK"/>
        <family val="2"/>
      </rPr>
      <t>ผลผลิตหลัก</t>
    </r>
    <r>
      <rPr>
        <sz val="16"/>
        <color indexed="8"/>
        <rFont val="TH SarabunPSK"/>
        <family val="2"/>
      </rPr>
      <t xml:space="preserve"> การชักจูงการลงทุนจากต่างประเทศสำหรับเขตพัฒนาพิเศษภาคตะวันออก (EEC) มีปริมาณหน่วยนับเพิ่มขึ้นร้อยละ 16.67 และต้นทุนต่อหน่วยลดลงร้อยละ 34.93เนื่องมาจากในปี 2562 มีการจัดกิจกรรมเพิ่มขึ้นเมื่อเทียบกับปี 2561 เช่น การจัดกิจกรรมหารือนักลงทุนในกลุ่มอุตสาหกรรมอิเล็กทรอนิกส์ที่ไต้หวัน และกิจกรรมเข้าร่วมงาน ASEAN Business and Investment Summit 2018 ที่สิงคโปร์ ซึ่งในปี 2561 ไม่มีการจัดกิจกรรมดังกล่าว ดังนั้นเมื่อนำมาเปรียบเทียบกันจึงทำให้มีปริมาณหน่วยนับเพิ่มขึ้น และส่งผลให้ต้นทุนต่อหน่วยลดลง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</si>
  <si>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สำนักงานเศรษฐกิจการลงทุน ณ นครเซี่ยงไฮ้ (0103200036) ต้นทุนผันแปรลดลงร้อยละ 45.57 เนื่องมาจากในปี 2561  มีค่าใช้จ่ายในการประชาสัมพันธ์จากเงินงบกลางปี 2560 เงินสำรองจ่ายเพื่อกรณีฉุกเฉินหรือจำเป็น เพื่อเป็นค่าใช้จ่ายในการดำเนินการโครงการประชาสัมพันธ์และจัดกิจกรรมชักจูงการลงทุนในต่างประเทศสำหรับโครงการ EEC ภายใต้แผนงานพัฒนาระเบียงเศรษฐกิจภาคตะวันออก (พ.ศ.2560-2564) จำนวน 4,122,030 บาท ซึ่งในปี 2562 ไม่มีรายการดังกล่าว เมื่อนำมาเปรียบเทียบกับปี 2561 จึงส่งผลทำให้ต้นทุนผันแปรลดลง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</si>
  <si>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สำนักงานเศรษฐกิจการลงทุน ณ นครกวางโจว (0103200038) ต้นทุนผันแปรเพิ่มขึ้นร้อยละ 29.14 เนื่องมาจากในปี 2562 มีค่าใช้จ่ายในการเดินทางกลับมาประจำการที่ประเทศไทย ของคุณนายพิสุทธิ์  โชติอำไพภรณ์ จำนวน 1,607,765.05 บาท ซึ่งในปี 2561 ไม่มีรายการดังกล่าว จึงส่งผลทำให้ต้นทุนผันแปรเพิ่มขึ้น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</si>
  <si>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กลุ่มพัฒนาระบบบริหาร (0103200002) ต้นทุนผันแปรลดลงร้อยละ 74.15 เนื่องมาจากในปี 2561 กลุ่มพัฒนาระบบบริหาร มีค่าใช้จ่ายเกี่ยวกับการจัดอบรบเพื่อพัฒนาบุคลากร จำนวน 429,386.54 บาท ซึ่งปี 2562 ไม่มีรายการดังกล่าว ดังนั้นจึงส่งผลให้ต้นทุนผันแปรลดลง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</si>
  <si>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งานด้านอาคารและสถานที่ มีปริมาณหน่วยนับลดลงร้อยละ 23.03 และต้นทุนต่อหน่วยเพิ่มขึ้นร้อยละ 57.53 เนื่องมาจากในปี 2562 มีการซ่อมแซมบำรุงอาคารและสถานที่ลดลงเมื่อเทียบกับปี 2561 ส่งผลทำให้ปริมาณหน่วยนับลดลง และทำให้ต้นทุนต่อหน่วยเพิ่มขึ้น</t>
    </r>
  </si>
  <si>
    <r>
      <t>กิจกรรมย่อย</t>
    </r>
    <r>
      <rPr>
        <sz val="16"/>
        <rFont val="TH SarabunPSK"/>
        <family val="2"/>
      </rPr>
      <t xml:space="preserve"> กิจกรรมชักจูงการลงทุนจากต่างประเทศสำหรับเขตพัฒนาพิเศษภาคตะวันออก (EEC)  มีปริมาณหน่วยนับเพิ่มขึ้นร้อยละ 16.67 และต้นทุนต่อหน่วยลดลงร้อยละ 33.51 เนื่องมาจากในปี 2562 มีการจัดกิจกรรมเพิ่มขึ้นเมื่อเทียบกับปี 2561 เช่น การจัดกิจกรรมหารือนักลงทุนในกลุ่มอุตสาหกรรฒอิเล็กทรอนิกส์ที่ไต้หวัน และกิจกรรมเข้าร่วมงาน ASEAN Business and Investment Summit 2018 ที่สิงคโปร์ ซึ่งในปี 2561 ไม่มีการจัดกิจกรรมดังกล่าว ดังนั้นเมื่อนำมาเปรียบเทียบกันจึงทำให้มีปริมาณหน่วยนับเพิ่มขึ้น และส่งผลให้ต้นทุนต่อหน่วยลดลง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</si>
  <si>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งานประชาสัมพันธ์ในประเทศ และงานเผยแพร่ผ่าน Website มีปริมาณหน่วยนับเพิ่มขึ้นร้อยละ 25 ร้อยละ 33.33 และต้นทุนต่อหน่วยลดลงร้อยละ 42.56 และร้อยละ 46.15 ตามลำดับ เนื่องมาจากการจัดกิจกรรมของสำนักงานคณะกรรมการส่งเสริมลงทุนในปี 2561 เพิ่มขึ้นจำนวนมาก ศูนย์บริการลงทุนจึงได้ดำเนินการประชาสัมพันธ์ภาพข่าว จัดทำเอกสารเผยแพร่ในประเทศ และเผยแพร่ผ่าน Website เพิ่มขึ้นในปี 2562 ส่งผลทำให้ปริมาณหน่วยนับเพิ่มขึ้น และทำให้ต้นทุนต่อหน่วยลดลง 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</si>
  <si>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งานรับข้อร้องเรียนระบบคุณภาพของสำนักงาน มีปริมาณหน่วยนับเพิ่มขึ้นร้อยละ 44.44 และต้นทุนต่อหน่วยลดลงร้อยละ 44.56 เนื่องมาจากในปี 2562 สำนักงานได้รับข้อร้องเรียนเกี่ยวกับระบบคุณภาพเพิ่มมากขึ้นเมื่อเปรียบเทียบกับปี 2561 แบ่งเป็นเกี่ยวกับการให้บริการและปฏิบัติงานของเจ้าหน้าที่ จำนวน 18 เรื่อง และเรื่องอื่น ๆ จำนวน 8 เรื่อง ส่งผลทำให้ปริมาณหน่วยนับเพิ่มขึ้น และต้นทุนต่อหน่วยลดลง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</si>
  <si>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งานด้านกฎหมาย มีปริมาณหน่วยนับเพิ่มขึ้นร้อยละ 77.77 และต้นทุนต่อหน่วยลดลงร้ออยละ 47.07 เนื่องมาจากในปี 2562 สำนักงานมีประกาศและคำสั่งต่าง ๆ เพิ่มขึ้น ทั้งในส่วนของงานตอบข้อหารือด้านกฎหมายและการให้คำปรึกษาปัญหาและอุปสรรคด้านการลงทุนมีจำนวนมากขึ้นเมื่อเทียบกับปี 2561 จึงส่งผลทำให้ปริมาณหน่วยนับเพิ่มขึ้น และต้นทุนต่อหน่วยลดลง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</si>
  <si>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ประจำการสถานเอกอัครราชทูต  ณ กรุงปักกิ่ง (0103200037) ต้นทุนผันแปรเพิ่มขึ้นร้อยละ 68.17 เนื่องมาจากในปี 2562  มีค่าใช้จ่ายในการประชาสัมพันธ์จากเงินงบกลางปี 2560 เงินสำรองจ่ายเพื่อกรณีฉุกเฉินหรือจำเป็น เพื่อเป็นค่าใช้จ่ายในการดำเนินการโครงการประชาสัมพันธ์และจัดกิจกรรมชักจูงการลงทุนในต่างประเทศสำหรับโครงการ EEC ภายใต้แผนงานพัฒนาระเบียงเศรษฐกิจภาคตะวันออก (พ.ศ.2560-2564) จำนวน 4,016,623.96 บาท ซึ่งในปี 2561 ไม่มีรายการดังกล่าว เมื่อนำมาเปรียบเทียบกัน จึงส่งผลทำให้ต้นทุนผันแปรและต้นทุนรวมเพิ่มขึ้น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</si>
  <si>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ศูนย์บริการลงทุน (0103200013) ต้นทุนผันแปรลดลงร้อยละ 30.32 เนื่องมาจากในปี 2561 ศูนย์บริการลงทุนที่รับผิดชอบกิจกรรมย่อยดังกล่าวโดยตรง ได้รับจัดสรรงบกลางปี 2560 เงินสำรองจ่ายเพื่อกรณีฉุกเฉินหรือจำเป็น เพื่อเป็นค่าใช้จ่ายในการดำเนินการโครงการประชาสัมพันธ์และจัดกิจกรรมชักจูงการลงทุนในต่างประเทศสำหรับโครงการ EEC ภายใต้แผนงานพัฒนาระเบียงเศรษฐกิจภาคตะวันออก (พ.ศ.2560-2564) จำนวน 68,052,000 บาท และงบกลางปี 2559 เงินสำรองจ่ายเพื่อกรณีฉุกเฉินหรือจำเป็น เพื่อเป็นค่าใช้จ่ายดำเนินการโครงการดำเนินงานโฆษณา ประชาสัมพันธ์และจัดกิจกรรมเพื่อพลิกโฉมประเทศไทยสู่ "Thailand 4.0" จำนวน 125,463,300 บาท  เมื่อเทียบกับปี 2562 ศูนย์บริการลงทุน ได้รับจัดสรรงบกลางปี 2560 ที่เหลือ จำนวน 18,808,565.40 บาท ทำให้กิจกรรมย่อยงานประชาสัมพันธ์เผยแพร่ผ่านสื่อ เมื่อเทียบกับปี 2561 มีต้นทุนผันแปรและต้นทุนรวมลดลง</t>
    </r>
  </si>
  <si>
    <r>
      <rPr>
        <u val="single"/>
        <sz val="16"/>
        <rFont val="TH SarabunPSK"/>
        <family val="2"/>
      </rPr>
      <t>กิจกรรมย่อย</t>
    </r>
    <r>
      <rPr>
        <sz val="16"/>
        <rFont val="TH SarabunPSK"/>
        <family val="2"/>
      </rPr>
      <t xml:space="preserve"> งานประชาสัมพันธ์เผยแพร่ผ่านสื่อ มีปริมาณหน่วยนับลดลงร้อยละ 84.43 และต้นทุนต่อหน่วยเพิ่มขึ้นร้อยละ 100 เนื่องมาจากในปี 2561 ศูนย์บริการลงทุนที่รับผิดชอบกิจกรรมย่อยดังกล่าวโดยตรง ได้รับจัดสรรงบกลางปี 2560 เงินสำรองจ่ายเพื่อกรณีฉุกเฉินหรือจำเป็น เพื่อเป็นค่าใช้จ่ายในการดำเนินการโครงการประชาสัมพันธ์และจัดกิจกรรมชักจูงการลงทุนในต่างประเทศสำหรับโครงการ EEC ภายใต้แผนงานพัฒนาระเบียงเศรษฐกิจภาคตะวันออก (พ.ศ.2560-2564) จำนวน 68,052,000 บาท              และงบกลางปี 2559 เงินสำรองจ่ายเพื่อกรณีฉุกเฉินหรือจำเป็น เพื่อเป็นค่าใช้จ่ายดำเนินการโครงการดำเนินงานโฆษณา ประชาสัมพันธ์และจัดกิจกรรมเพื่อพลิกโฉมประเทศไทยสู่ "Thailand 4.0" จำนวน 125,463,300 บาท เมื่อเทียบกับปี 2562 ศูนย์บริการลงทุน ได้รับจัดสรรงบกลางปี 2560 ที่เหลือ จำนวน 18,808,565.40 บาท ทำให้กิจกรรมย่อยงานประชาสัมพันธ์เผยแพร่ผ่านสื่อ เมื่อเทียบกับปี 2561 มีปริมาณหน่วยนับลดลง และทำให้ต้นทุนต่อหน่วยเพิ่มขึ้น </t>
    </r>
  </si>
  <si>
    <r>
      <t>ผลผลิตย่อย</t>
    </r>
    <r>
      <rPr>
        <sz val="16"/>
        <rFont val="TH SarabunPSK"/>
        <family val="2"/>
      </rPr>
      <t xml:space="preserve"> การส่งเสริมการลงทุนในอุตสาหกรรมเป้าหมายและอุตสาหกรรมสำคัญตามนโยบายรัฐบาล มีปริมาณหน่วยนับเพิ่มขึ้นร้อยละ 40 และต้นทุนต่อหน่วยลดลงร้อยละ 30.50 เนื่องมาจากในปี 2562 กองส่งเสริมการลงทุนจากต่างประเทศที่รับผิดชอบผลผลิตย่อยดังกล่าวโดยตรง จากเดิมนับผลรวมของจำนวนครั้งที่จัดกิจกรรม 1) จัดงานสัมมนาทั่วไป               2) สัมมนารายสาขา และ 3) จัดกิจกรรม Door Knocking เป็นนับผลรวมของจำนวนครั้งที่จัดกิจกรรม 1) จัดงานสัมมนาทั่วไป 2) สัมมนารายสาขา 3) การจัดกิจกรรม Door Knocking และ 4) การจัดกิจกรรม Networking อีกทั้งในปี 2562 กองส่งเสริมการลงทุนจากต่างประเทศมีการจัดสัมมนารายสาขาเพิ่มมากขึ้น จำนวน 22 ครั้ง เมื่อเทียบกับปี 2561 จึงส่งผลทำให้มีปริมาณหน่วยนับเพิ่มขึ้น และทำให้ต้นทุนต่อหน่วยลดลง</t>
    </r>
  </si>
  <si>
    <r>
      <rPr>
        <u val="single"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การชักจูงการลงทุนในอุตสาหกรรมเป้าหมายและอุตสาหกรรมสำคัญตามนโยบายรัฐบาล มีต้นทุนรวมเพิ่มขึ้นร้อยละ 28.92 ปริมาณหน่วยนับเพิ่มขึ้นร้อยละ 40 และต้นทุนต่อหน่วยลดลงร้อยละ 7.91 เนื่องมาจากในปี 2562 กองส่งเสริมการลงทุนจากต่างประเทศที่รับผิดชอบผลผลิตย่อยดังกล่าวโดยตรง จากเดิมนับผลรวมของจำนวนครั้งที่จัดกิจกรรม 1) จัดงานสัมมนาทั่วไป 2) สัมมนารายสาขา และ 3) จัดกิจกรรม Door Knocking เป็นนับผลรวมของจำนวนครั้งที่จัดกิจกรรม 1) จัดงานสัมมนาทั่วไป 2) สัมมนารายสาขา    3) การจัดกิจกรรม Door Knocking และ 4) การจัดกิจกรรม Networking อีกทั้งในปี 2562 กองส่งเสริมการลงทุนจากต่างประเทศมีการจัดสัมมนารายสาขาเพิ่มมากขึ้น จำนวน 22 ครั้ง เมื่อเทียบกับปี 2561 จึงส่งผลทำให้มีปริมาณหน่วยนับเพิ่มขึ้น และทำให้ต้นทุนต่อหน่วยลดลง</t>
    </r>
  </si>
  <si>
    <r>
      <rPr>
        <u val="single"/>
        <sz val="16"/>
        <rFont val="TH SarabunPSK"/>
        <family val="2"/>
      </rPr>
      <t>ศูนย์ต้นทุนหลัก</t>
    </r>
    <r>
      <rPr>
        <sz val="16"/>
        <rFont val="TH SarabunPSK"/>
        <family val="2"/>
      </rPr>
      <t xml:space="preserve"> สนง.เศรษฐกิจการลงทุน ณ นครแฟรงค์เฟิร์ต (0103200032) ต้นทุนผันแปรลดลงร้อยละ 27.84 เนื่องมาจากในปี 2561 มีค่าใช้จ่ายในการประชาสัมพันธ์จากเงินงบกลางปี 2560 เงินสำรองจ่ายเพื่อกรณีฉุกเฉินหรือจำเป็น เพื่อเป็นค่าใช้จ่ายในการดำเนินการโครงการประชาสัมพันธ์และจัดกิจกรรมชักจูงการลงทุนในต่างประเทศสำหรับโครงการ EEC ภายใต้แผนงานพัฒนาระเบียงเศรษฐกิจภาคตะวันออก (พ.ศ.2560-2564) จำนวน 7,878,488.08 บาท ซึ่งในปี 2562 มีจำนวน 5,694,351.05 บาท เมื่อนำมาเปรียบเทียบกับปี 2561     จึงส่งผลทำให้ต้นทุนผันแปรลดลง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</si>
  <si>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กลุ่มกฎหมาย (0103200008) ต้นทุนผันแปรลดลงร้อยละ 60.31 เนื่องมาจากในปีงบประมาณ 2561 มีค่าใช้จ่ายในการจัดประชุมราชการ จำนวน 35,660 บาท      ซึ่งในปี 2562 ไม่มีค่าใช้จ่ายดังกล่าว ส่งผลทำให้ต้นทุนผันแปรลดลง</t>
    </r>
  </si>
  <si>
    <r>
      <rPr>
        <u val="single"/>
        <sz val="16"/>
        <rFont val="TH SarabunPSK"/>
        <family val="2"/>
      </rPr>
      <t>ศูนย์ต้นทุนสนับสนุน</t>
    </r>
    <r>
      <rPr>
        <sz val="16"/>
        <rFont val="TH SarabunPSK"/>
        <family val="2"/>
      </rPr>
      <t xml:space="preserve"> กลุ่มบริหารทั่วไป (0103200009) ต้นทุนผันแปรเพิ่มขึ้นร้อยละ 76.94 เนื่องมาจากในปีงบประมาณ 2562 ได้มีการจัดสรรภาระกิจงานให้ตรงกับความรับผิดชอบของกลุ่มบริหารทั่วไป โดยมีค่าใช้จ่ายที่อยู่ในความรับผิดชอบของกลุ่มบริหารทั่วไปเพิ่มขึ้นจากปี 2561 ดังนี้ ค่าจ้างเหมาพนักงานขับรถยนต์ จำนวน 770,400 บาท, ค่าเช่ารถยนต์ส่วนกลาง จำนวน 256,346,800 บาท, ค่าจ้างเหมาดูแลบำรุงรักษาลิฟต์โดยสารส่วนกลาง จำนวน 47,080 บาท และค่าจ้างเหมาดูแลระบบเครื่องปรับอากาศ จำนวน 750,000 บาท    อีกทั้งในปี 2562 มีค่าใช้จ่ายในการปรับปรุงพื้นที่ทางเดินชั้น 4 จำนวน 388,808.04 บาท เมื่อนำมาเปรียบเทียบกับปี 2561 จึงส่งผลทำให้ต้นทุนผันแปรเพิ่มขึ้น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</si>
</sst>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ddd\,\ mmmm\ dd\,\ yyyy"/>
    <numFmt numFmtId="177" formatCode="0.0"/>
    <numFmt numFmtId="178" formatCode="mmmm\ d\,\ yyyy"/>
    <numFmt numFmtId="179" formatCode="_(* #,##0.0_);_(* \(#,##0.0\);_(* &quot;-&quot;??_);_(@_)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"/>
    <numFmt numFmtId="187" formatCode="_(* #,##0.000_);_(* \(#,##0.000\);_(* &quot;-&quot;??_);_(@_)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0.00_);\(0.00\)"/>
    <numFmt numFmtId="194" formatCode="0.0000"/>
    <numFmt numFmtId="195" formatCode="0.00_);[Red]\(0.00\)"/>
    <numFmt numFmtId="196" formatCode="0.0_);[Red]\(0.0\)"/>
    <numFmt numFmtId="197" formatCode="0_);[Red]\(0\)"/>
    <numFmt numFmtId="198" formatCode="#,##0.0_);[Red]\(#,##0.0\)"/>
    <numFmt numFmtId="199" formatCode="[$-409]dddd\,\ mmmm\ d\,\ yyyy"/>
    <numFmt numFmtId="200" formatCode="[$-409]h:mm:ss\ AM/PM"/>
    <numFmt numFmtId="201" formatCode="#,##0.000_);[Red]\(#,##0.000\)"/>
    <numFmt numFmtId="202" formatCode="#,##0.0000_);[Red]\(#,##0.0000\)"/>
    <numFmt numFmtId="203" formatCode="#,##0.00000000"/>
    <numFmt numFmtId="204" formatCode="#,##0.00000000000000000"/>
  </numFmts>
  <fonts count="86">
    <font>
      <sz val="10"/>
      <color indexed="8"/>
      <name val="Tahoma"/>
      <family val="0"/>
    </font>
    <font>
      <sz val="9"/>
      <color indexed="8"/>
      <name val="Times New Roman"/>
      <family val="0"/>
    </font>
    <font>
      <sz val="8"/>
      <name val="Tahoma"/>
      <family val="2"/>
    </font>
    <font>
      <b/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double"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color indexed="8"/>
      <name val="TH SarabunPSK"/>
      <family val="2"/>
    </font>
    <font>
      <b/>
      <sz val="10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u val="single"/>
      <sz val="12"/>
      <color indexed="8"/>
      <name val="TH SarabunPSK"/>
      <family val="2"/>
    </font>
    <font>
      <sz val="18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H SarabunPSK"/>
      <family val="2"/>
    </font>
    <font>
      <sz val="9"/>
      <color indexed="8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sz val="15.5"/>
      <color indexed="8"/>
      <name val="TH SarabunPSK"/>
      <family val="2"/>
    </font>
    <font>
      <u val="single"/>
      <sz val="15.5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10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name val="TH SarabunPSK"/>
      <family val="2"/>
    </font>
    <font>
      <sz val="14.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sz val="16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u val="single"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70C0"/>
      <name val="TH SarabunPSK"/>
      <family val="2"/>
    </font>
    <font>
      <b/>
      <sz val="8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0" fillId="0" borderId="10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vertical="center"/>
      <protection/>
    </xf>
    <xf numFmtId="4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56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12" fillId="0" borderId="10" xfId="42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171" fontId="15" fillId="0" borderId="10" xfId="0" applyNumberFormat="1" applyFont="1" applyBorder="1" applyAlignment="1">
      <alignment horizontal="right" vertical="center"/>
    </xf>
    <xf numFmtId="0" fontId="17" fillId="0" borderId="10" xfId="0" applyFont="1" applyFill="1" applyBorder="1" applyAlignment="1">
      <alignment vertical="center" wrapText="1"/>
    </xf>
    <xf numFmtId="4" fontId="15" fillId="0" borderId="12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20" fillId="0" borderId="10" xfId="56" applyFont="1" applyFill="1" applyBorder="1" applyAlignment="1">
      <alignment horizontal="center" vertical="center" wrapText="1"/>
      <protection/>
    </xf>
    <xf numFmtId="0" fontId="22" fillId="0" borderId="11" xfId="56" applyFont="1" applyFill="1" applyBorder="1" applyAlignment="1">
      <alignment vertical="center"/>
      <protection/>
    </xf>
    <xf numFmtId="4" fontId="20" fillId="0" borderId="10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4" fontId="22" fillId="0" borderId="10" xfId="56" applyNumberFormat="1" applyFont="1" applyFill="1" applyBorder="1" applyAlignment="1">
      <alignment vertical="center"/>
      <protection/>
    </xf>
    <xf numFmtId="43" fontId="5" fillId="0" borderId="10" xfId="42" applyFont="1" applyBorder="1" applyAlignment="1">
      <alignment/>
    </xf>
    <xf numFmtId="0" fontId="10" fillId="0" borderId="0" xfId="56" applyFont="1" applyFill="1">
      <alignment/>
      <protection/>
    </xf>
    <xf numFmtId="4" fontId="12" fillId="0" borderId="14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23" fillId="0" borderId="0" xfId="56" applyFont="1" applyFill="1" applyAlignment="1">
      <alignment/>
      <protection/>
    </xf>
    <xf numFmtId="0" fontId="20" fillId="0" borderId="0" xfId="56" applyFont="1" applyFill="1">
      <alignment/>
      <protection/>
    </xf>
    <xf numFmtId="0" fontId="20" fillId="0" borderId="0" xfId="56" applyFont="1" applyFill="1" applyAlignment="1">
      <alignment horizontal="center"/>
      <protection/>
    </xf>
    <xf numFmtId="0" fontId="20" fillId="0" borderId="10" xfId="56" applyFont="1" applyFill="1" applyBorder="1">
      <alignment/>
      <protection/>
    </xf>
    <xf numFmtId="4" fontId="5" fillId="0" borderId="10" xfId="0" applyNumberFormat="1" applyFont="1" applyFill="1" applyBorder="1" applyAlignment="1">
      <alignment horizontal="right"/>
    </xf>
    <xf numFmtId="43" fontId="5" fillId="0" borderId="10" xfId="42" applyFont="1" applyFill="1" applyBorder="1" applyAlignment="1">
      <alignment/>
    </xf>
    <xf numFmtId="43" fontId="5" fillId="0" borderId="12" xfId="42" applyFont="1" applyFill="1" applyBorder="1" applyAlignment="1">
      <alignment horizontal="right" vertical="center"/>
    </xf>
    <xf numFmtId="0" fontId="8" fillId="0" borderId="0" xfId="56" applyFont="1" applyFill="1" applyAlignment="1">
      <alignment/>
      <protection/>
    </xf>
    <xf numFmtId="0" fontId="10" fillId="0" borderId="0" xfId="56" applyFont="1" applyFill="1" applyAlignment="1">
      <alignment horizontal="center"/>
      <protection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center" wrapText="1"/>
    </xf>
    <xf numFmtId="4" fontId="12" fillId="0" borderId="14" xfId="0" applyNumberFormat="1" applyFont="1" applyFill="1" applyBorder="1" applyAlignment="1">
      <alignment vertical="justify"/>
    </xf>
    <xf numFmtId="0" fontId="5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41" fontId="17" fillId="0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3" fontId="5" fillId="0" borderId="0" xfId="42" applyFont="1" applyAlignment="1">
      <alignment horizontal="left" vertical="center"/>
    </xf>
    <xf numFmtId="43" fontId="5" fillId="0" borderId="0" xfId="42" applyFont="1" applyFill="1" applyAlignment="1">
      <alignment horizontal="right"/>
    </xf>
    <xf numFmtId="43" fontId="5" fillId="0" borderId="0" xfId="42" applyFont="1" applyFill="1" applyAlignment="1">
      <alignment horizontal="left"/>
    </xf>
    <xf numFmtId="43" fontId="5" fillId="0" borderId="0" xfId="42" applyFont="1" applyFill="1" applyAlignment="1">
      <alignment/>
    </xf>
    <xf numFmtId="43" fontId="5" fillId="0" borderId="0" xfId="0" applyNumberFormat="1" applyFont="1" applyFill="1" applyAlignment="1">
      <alignment horizontal="left"/>
    </xf>
    <xf numFmtId="43" fontId="5" fillId="0" borderId="0" xfId="42" applyFont="1" applyFill="1" applyAlignment="1">
      <alignment horizontal="center" vertical="center"/>
    </xf>
    <xf numFmtId="43" fontId="5" fillId="0" borderId="0" xfId="42" applyFont="1" applyAlignment="1">
      <alignment/>
    </xf>
    <xf numFmtId="43" fontId="12" fillId="0" borderId="0" xfId="42" applyFont="1" applyFill="1" applyAlignment="1">
      <alignment/>
    </xf>
    <xf numFmtId="43" fontId="12" fillId="0" borderId="0" xfId="42" applyFont="1" applyFill="1" applyAlignment="1">
      <alignment horizontal="center"/>
    </xf>
    <xf numFmtId="43" fontId="5" fillId="0" borderId="0" xfId="42" applyFont="1" applyFill="1" applyBorder="1" applyAlignment="1">
      <alignment vertical="center"/>
    </xf>
    <xf numFmtId="43" fontId="12" fillId="0" borderId="0" xfId="0" applyNumberFormat="1" applyFont="1" applyFill="1" applyAlignment="1">
      <alignment horizontal="left"/>
    </xf>
    <xf numFmtId="43" fontId="15" fillId="0" borderId="0" xfId="42" applyFont="1" applyFill="1" applyBorder="1" applyAlignment="1">
      <alignment vertical="center"/>
    </xf>
    <xf numFmtId="43" fontId="16" fillId="0" borderId="0" xfId="42" applyFont="1" applyFill="1" applyAlignment="1">
      <alignment vertical="center"/>
    </xf>
    <xf numFmtId="43" fontId="27" fillId="0" borderId="0" xfId="42" applyFont="1" applyFill="1" applyAlignment="1">
      <alignment horizontal="center"/>
    </xf>
    <xf numFmtId="43" fontId="20" fillId="0" borderId="0" xfId="56" applyNumberFormat="1" applyFont="1" applyFill="1" applyAlignment="1">
      <alignment horizontal="center"/>
      <protection/>
    </xf>
    <xf numFmtId="43" fontId="20" fillId="0" borderId="0" xfId="56" applyNumberFormat="1" applyFont="1" applyFill="1">
      <alignment/>
      <protection/>
    </xf>
    <xf numFmtId="19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79" fillId="0" borderId="10" xfId="0" applyNumberFormat="1" applyFont="1" applyFill="1" applyBorder="1" applyAlignment="1">
      <alignment vertical="center"/>
    </xf>
    <xf numFmtId="43" fontId="12" fillId="0" borderId="0" xfId="42" applyFont="1" applyFill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80" fillId="0" borderId="0" xfId="56" applyFont="1" applyFill="1" applyAlignment="1">
      <alignment/>
      <protection/>
    </xf>
    <xf numFmtId="0" fontId="79" fillId="0" borderId="0" xfId="56" applyFont="1" applyFill="1" applyAlignment="1">
      <alignment horizontal="center"/>
      <protection/>
    </xf>
    <xf numFmtId="4" fontId="81" fillId="0" borderId="10" xfId="56" applyNumberFormat="1" applyFont="1" applyFill="1" applyBorder="1" applyAlignment="1">
      <alignment vertical="center"/>
      <protection/>
    </xf>
    <xf numFmtId="0" fontId="79" fillId="0" borderId="0" xfId="56" applyFont="1" applyFill="1">
      <alignment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43" fontId="20" fillId="0" borderId="0" xfId="42" applyFont="1" applyFill="1" applyAlignment="1">
      <alignment horizontal="center"/>
    </xf>
    <xf numFmtId="4" fontId="28" fillId="0" borderId="0" xfId="56" applyNumberFormat="1" applyFont="1" applyFill="1" applyAlignment="1">
      <alignment horizontal="center"/>
      <protection/>
    </xf>
    <xf numFmtId="0" fontId="32" fillId="0" borderId="1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0" fontId="82" fillId="0" borderId="0" xfId="56" applyFont="1" applyFill="1">
      <alignment/>
      <protection/>
    </xf>
    <xf numFmtId="0" fontId="10" fillId="0" borderId="10" xfId="0" applyFont="1" applyFill="1" applyBorder="1" applyAlignment="1">
      <alignment horizontal="center" vertical="center"/>
    </xf>
    <xf numFmtId="0" fontId="29" fillId="0" borderId="0" xfId="56" applyFont="1" applyFill="1">
      <alignment/>
      <protection/>
    </xf>
    <xf numFmtId="0" fontId="10" fillId="0" borderId="0" xfId="56" applyFont="1" applyFill="1" applyAlignment="1">
      <alignment/>
      <protection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43" fontId="5" fillId="0" borderId="0" xfId="42" applyFont="1" applyFill="1" applyAlignment="1">
      <alignment vertical="center"/>
    </xf>
    <xf numFmtId="43" fontId="5" fillId="0" borderId="10" xfId="42" applyFont="1" applyFill="1" applyBorder="1" applyAlignment="1">
      <alignment horizontal="right"/>
    </xf>
    <xf numFmtId="43" fontId="4" fillId="0" borderId="0" xfId="42" applyFont="1" applyFill="1" applyAlignment="1">
      <alignment vertical="center"/>
    </xf>
    <xf numFmtId="43" fontId="11" fillId="0" borderId="10" xfId="42" applyFont="1" applyFill="1" applyBorder="1" applyAlignment="1">
      <alignment horizontal="center" vertical="center" wrapText="1"/>
    </xf>
    <xf numFmtId="43" fontId="4" fillId="0" borderId="11" xfId="42" applyFont="1" applyFill="1" applyBorder="1" applyAlignment="1">
      <alignment horizontal="left" vertical="center"/>
    </xf>
    <xf numFmtId="43" fontId="5" fillId="0" borderId="10" xfId="42" applyFont="1" applyFill="1" applyBorder="1" applyAlignment="1">
      <alignment horizontal="right" vertical="center"/>
    </xf>
    <xf numFmtId="43" fontId="11" fillId="0" borderId="11" xfId="42" applyFont="1" applyFill="1" applyBorder="1" applyAlignment="1">
      <alignment horizontal="right"/>
    </xf>
    <xf numFmtId="43" fontId="12" fillId="0" borderId="10" xfId="42" applyFont="1" applyFill="1" applyBorder="1" applyAlignment="1">
      <alignment vertical="center"/>
    </xf>
    <xf numFmtId="43" fontId="12" fillId="0" borderId="14" xfId="42" applyFont="1" applyFill="1" applyBorder="1" applyAlignment="1">
      <alignment vertical="center"/>
    </xf>
    <xf numFmtId="43" fontId="12" fillId="0" borderId="14" xfId="42" applyFont="1" applyFill="1" applyBorder="1" applyAlignment="1">
      <alignment vertical="justify"/>
    </xf>
    <xf numFmtId="43" fontId="11" fillId="0" borderId="12" xfId="42" applyFont="1" applyFill="1" applyBorder="1" applyAlignment="1">
      <alignment horizontal="right" vertical="center"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 applyFill="1">
      <alignment/>
      <protection/>
    </xf>
    <xf numFmtId="0" fontId="5" fillId="0" borderId="0" xfId="55" applyFont="1" applyFill="1">
      <alignment/>
      <protection/>
    </xf>
    <xf numFmtId="3" fontId="12" fillId="0" borderId="14" xfId="0" applyNumberFormat="1" applyFont="1" applyFill="1" applyBorder="1" applyAlignment="1">
      <alignment vertical="center"/>
    </xf>
    <xf numFmtId="43" fontId="20" fillId="0" borderId="0" xfId="42" applyFont="1" applyFill="1" applyAlignment="1">
      <alignment/>
    </xf>
    <xf numFmtId="43" fontId="5" fillId="0" borderId="0" xfId="0" applyNumberFormat="1" applyFont="1" applyFill="1" applyAlignment="1">
      <alignment/>
    </xf>
    <xf numFmtId="0" fontId="20" fillId="0" borderId="10" xfId="0" applyFont="1" applyFill="1" applyBorder="1" applyAlignment="1" quotePrefix="1">
      <alignment horizontal="center" vertical="center" wrapText="1"/>
    </xf>
    <xf numFmtId="43" fontId="5" fillId="0" borderId="10" xfId="42" applyFont="1" applyFill="1" applyBorder="1" applyAlignment="1">
      <alignment vertical="center"/>
    </xf>
    <xf numFmtId="43" fontId="5" fillId="0" borderId="14" xfId="42" applyFont="1" applyFill="1" applyBorder="1" applyAlignment="1">
      <alignment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0" xfId="56" applyFont="1" applyFill="1">
      <alignment/>
      <protection/>
    </xf>
    <xf numFmtId="0" fontId="33" fillId="0" borderId="0" xfId="55" applyFont="1" applyFill="1">
      <alignment/>
      <protection/>
    </xf>
    <xf numFmtId="0" fontId="34" fillId="0" borderId="0" xfId="0" applyFont="1" applyFill="1" applyAlignment="1">
      <alignment/>
    </xf>
    <xf numFmtId="0" fontId="5" fillId="0" borderId="0" xfId="55" applyFont="1" applyFill="1" applyAlignment="1">
      <alignment horizontal="left"/>
      <protection/>
    </xf>
    <xf numFmtId="0" fontId="5" fillId="0" borderId="14" xfId="0" applyFont="1" applyBorder="1" applyAlignment="1">
      <alignment/>
    </xf>
    <xf numFmtId="43" fontId="5" fillId="0" borderId="14" xfId="42" applyFont="1" applyBorder="1" applyAlignment="1">
      <alignment/>
    </xf>
    <xf numFmtId="0" fontId="83" fillId="0" borderId="0" xfId="0" applyFont="1" applyAlignment="1">
      <alignment/>
    </xf>
    <xf numFmtId="43" fontId="5" fillId="0" borderId="14" xfId="42" applyFont="1" applyFill="1" applyBorder="1" applyAlignment="1">
      <alignment/>
    </xf>
    <xf numFmtId="0" fontId="22" fillId="0" borderId="0" xfId="56" applyFont="1" applyFill="1">
      <alignment/>
      <protection/>
    </xf>
    <xf numFmtId="0" fontId="10" fillId="0" borderId="16" xfId="0" applyFont="1" applyFill="1" applyBorder="1" applyAlignment="1">
      <alignment horizontal="center" vertical="center"/>
    </xf>
    <xf numFmtId="43" fontId="5" fillId="0" borderId="14" xfId="42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0" xfId="56" applyFont="1" applyFill="1" applyBorder="1" applyAlignment="1">
      <alignment horizontal="left" vertical="center" wrapText="1"/>
      <protection/>
    </xf>
    <xf numFmtId="0" fontId="35" fillId="0" borderId="10" xfId="56" applyFont="1" applyFill="1" applyBorder="1" applyAlignment="1">
      <alignment horizontal="center" vertical="center" wrapText="1"/>
      <protection/>
    </xf>
    <xf numFmtId="43" fontId="29" fillId="0" borderId="0" xfId="42" applyFont="1" applyFill="1" applyAlignment="1">
      <alignment/>
    </xf>
    <xf numFmtId="43" fontId="10" fillId="0" borderId="0" xfId="56" applyNumberFormat="1" applyFont="1" applyFill="1">
      <alignment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/>
    </xf>
    <xf numFmtId="0" fontId="12" fillId="0" borderId="11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43" fontId="11" fillId="0" borderId="0" xfId="42" applyFont="1" applyFill="1" applyAlignment="1">
      <alignment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43" fontId="12" fillId="0" borderId="0" xfId="42" applyFont="1" applyFill="1" applyAlignment="1">
      <alignment horizontal="center" vertical="center"/>
    </xf>
    <xf numFmtId="40" fontId="11" fillId="0" borderId="0" xfId="0" applyNumberFormat="1" applyFont="1" applyFill="1" applyAlignment="1">
      <alignment vertical="center"/>
    </xf>
    <xf numFmtId="40" fontId="11" fillId="0" borderId="0" xfId="42" applyNumberFormat="1" applyFont="1" applyFill="1" applyAlignment="1">
      <alignment vertical="center"/>
    </xf>
    <xf numFmtId="40" fontId="11" fillId="0" borderId="0" xfId="0" applyNumberFormat="1" applyFont="1" applyFill="1" applyAlignment="1">
      <alignment horizontal="left" vertical="center"/>
    </xf>
    <xf numFmtId="40" fontId="11" fillId="0" borderId="0" xfId="42" applyNumberFormat="1" applyFont="1" applyFill="1" applyAlignment="1">
      <alignment horizontal="lef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11" fillId="0" borderId="10" xfId="42" applyNumberFormat="1" applyFont="1" applyFill="1" applyBorder="1" applyAlignment="1">
      <alignment horizontal="center" vertical="center" wrapText="1"/>
    </xf>
    <xf numFmtId="40" fontId="12" fillId="0" borderId="10" xfId="0" applyNumberFormat="1" applyFont="1" applyFill="1" applyBorder="1" applyAlignment="1">
      <alignment horizontal="center" vertical="center"/>
    </xf>
    <xf numFmtId="40" fontId="12" fillId="0" borderId="10" xfId="42" applyNumberFormat="1" applyFont="1" applyFill="1" applyBorder="1" applyAlignment="1">
      <alignment horizontal="center" vertical="center"/>
    </xf>
    <xf numFmtId="40" fontId="12" fillId="0" borderId="10" xfId="0" applyNumberFormat="1" applyFont="1" applyFill="1" applyBorder="1" applyAlignment="1">
      <alignment horizontal="center"/>
    </xf>
    <xf numFmtId="40" fontId="12" fillId="0" borderId="10" xfId="42" applyNumberFormat="1" applyFont="1" applyFill="1" applyBorder="1" applyAlignment="1">
      <alignment horizontal="right" vertical="center"/>
    </xf>
    <xf numFmtId="40" fontId="12" fillId="0" borderId="12" xfId="0" applyNumberFormat="1" applyFont="1" applyFill="1" applyBorder="1" applyAlignment="1">
      <alignment vertical="center"/>
    </xf>
    <xf numFmtId="40" fontId="12" fillId="0" borderId="12" xfId="42" applyNumberFormat="1" applyFont="1" applyFill="1" applyBorder="1" applyAlignment="1">
      <alignment vertical="center"/>
    </xf>
    <xf numFmtId="40" fontId="12" fillId="0" borderId="0" xfId="0" applyNumberFormat="1" applyFont="1" applyFill="1" applyAlignment="1">
      <alignment vertical="center"/>
    </xf>
    <xf numFmtId="40" fontId="12" fillId="0" borderId="0" xfId="42" applyNumberFormat="1" applyFont="1" applyFill="1" applyAlignment="1">
      <alignment vertical="center"/>
    </xf>
    <xf numFmtId="38" fontId="11" fillId="0" borderId="0" xfId="42" applyNumberFormat="1" applyFont="1" applyFill="1" applyAlignment="1">
      <alignment vertical="center"/>
    </xf>
    <xf numFmtId="38" fontId="11" fillId="0" borderId="10" xfId="42" applyNumberFormat="1" applyFont="1" applyFill="1" applyBorder="1" applyAlignment="1">
      <alignment horizontal="center" vertical="center" wrapText="1"/>
    </xf>
    <xf numFmtId="38" fontId="12" fillId="0" borderId="10" xfId="42" applyNumberFormat="1" applyFont="1" applyFill="1" applyBorder="1" applyAlignment="1">
      <alignment horizontal="center" vertical="center"/>
    </xf>
    <xf numFmtId="38" fontId="12" fillId="0" borderId="10" xfId="42" applyNumberFormat="1" applyFont="1" applyFill="1" applyBorder="1" applyAlignment="1">
      <alignment horizontal="center"/>
    </xf>
    <xf numFmtId="38" fontId="12" fillId="0" borderId="12" xfId="42" applyNumberFormat="1" applyFont="1" applyFill="1" applyBorder="1" applyAlignment="1">
      <alignment vertical="center"/>
    </xf>
    <xf numFmtId="38" fontId="12" fillId="0" borderId="0" xfId="42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0" fontId="5" fillId="0" borderId="10" xfId="0" applyNumberFormat="1" applyFont="1" applyFill="1" applyBorder="1" applyAlignment="1">
      <alignment vertical="center"/>
    </xf>
    <xf numFmtId="40" fontId="5" fillId="0" borderId="14" xfId="0" applyNumberFormat="1" applyFont="1" applyFill="1" applyBorder="1" applyAlignment="1">
      <alignment vertical="center"/>
    </xf>
    <xf numFmtId="40" fontId="5" fillId="0" borderId="12" xfId="0" applyNumberFormat="1" applyFont="1" applyFill="1" applyBorder="1" applyAlignment="1">
      <alignment vertical="center"/>
    </xf>
    <xf numFmtId="40" fontId="15" fillId="0" borderId="10" xfId="0" applyNumberFormat="1" applyFont="1" applyFill="1" applyBorder="1" applyAlignment="1">
      <alignment horizontal="right" vertical="center"/>
    </xf>
    <xf numFmtId="40" fontId="15" fillId="0" borderId="1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wrapText="1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right"/>
    </xf>
    <xf numFmtId="180" fontId="12" fillId="0" borderId="10" xfId="42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 vertical="justify"/>
    </xf>
    <xf numFmtId="43" fontId="11" fillId="0" borderId="17" xfId="42" applyFont="1" applyFill="1" applyBorder="1" applyAlignment="1">
      <alignment horizontal="center" vertical="center" wrapText="1"/>
    </xf>
    <xf numFmtId="43" fontId="11" fillId="0" borderId="11" xfId="42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right" vertical="center"/>
    </xf>
    <xf numFmtId="43" fontId="12" fillId="0" borderId="0" xfId="42" applyFont="1" applyFill="1" applyAlignment="1">
      <alignment horizontal="right"/>
    </xf>
    <xf numFmtId="180" fontId="11" fillId="0" borderId="10" xfId="42" applyNumberFormat="1" applyFont="1" applyFill="1" applyBorder="1" applyAlignment="1">
      <alignment horizontal="center" vertical="center" wrapText="1"/>
    </xf>
    <xf numFmtId="180" fontId="11" fillId="0" borderId="0" xfId="42" applyNumberFormat="1" applyFont="1" applyFill="1" applyAlignment="1">
      <alignment horizontal="right" vertical="center"/>
    </xf>
    <xf numFmtId="180" fontId="11" fillId="0" borderId="11" xfId="42" applyNumberFormat="1" applyFont="1" applyFill="1" applyBorder="1" applyAlignment="1">
      <alignment horizontal="right" vertical="center"/>
    </xf>
    <xf numFmtId="180" fontId="11" fillId="0" borderId="11" xfId="42" applyNumberFormat="1" applyFont="1" applyFill="1" applyBorder="1" applyAlignment="1">
      <alignment horizontal="right"/>
    </xf>
    <xf numFmtId="180" fontId="12" fillId="0" borderId="10" xfId="42" applyNumberFormat="1" applyFont="1" applyFill="1" applyBorder="1" applyAlignment="1">
      <alignment horizontal="right"/>
    </xf>
    <xf numFmtId="180" fontId="12" fillId="0" borderId="14" xfId="42" applyNumberFormat="1" applyFont="1" applyFill="1" applyBorder="1" applyAlignment="1">
      <alignment horizontal="right"/>
    </xf>
    <xf numFmtId="180" fontId="12" fillId="0" borderId="14" xfId="42" applyNumberFormat="1" applyFont="1" applyFill="1" applyBorder="1" applyAlignment="1">
      <alignment horizontal="right" vertical="justify"/>
    </xf>
    <xf numFmtId="180" fontId="11" fillId="0" borderId="12" xfId="42" applyNumberFormat="1" applyFont="1" applyFill="1" applyBorder="1" applyAlignment="1">
      <alignment horizontal="right" vertical="center"/>
    </xf>
    <xf numFmtId="180" fontId="12" fillId="0" borderId="0" xfId="42" applyNumberFormat="1" applyFont="1" applyFill="1" applyAlignment="1">
      <alignment horizontal="right" vertical="center"/>
    </xf>
    <xf numFmtId="0" fontId="12" fillId="0" borderId="11" xfId="0" applyFont="1" applyFill="1" applyBorder="1" applyAlignment="1">
      <alignment vertical="top"/>
    </xf>
    <xf numFmtId="40" fontId="12" fillId="0" borderId="14" xfId="0" applyNumberFormat="1" applyFont="1" applyFill="1" applyBorder="1" applyAlignment="1">
      <alignment horizontal="center" vertical="center" wrapText="1"/>
    </xf>
    <xf numFmtId="38" fontId="12" fillId="0" borderId="14" xfId="42" applyNumberFormat="1" applyFont="1" applyFill="1" applyBorder="1" applyAlignment="1">
      <alignment horizontal="center"/>
    </xf>
    <xf numFmtId="40" fontId="12" fillId="0" borderId="14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top"/>
    </xf>
    <xf numFmtId="38" fontId="12" fillId="0" borderId="14" xfId="42" applyNumberFormat="1" applyFont="1" applyFill="1" applyBorder="1" applyAlignment="1">
      <alignment horizontal="center" vertical="top"/>
    </xf>
    <xf numFmtId="40" fontId="12" fillId="0" borderId="14" xfId="0" applyNumberFormat="1" applyFont="1" applyFill="1" applyBorder="1" applyAlignment="1">
      <alignment horizontal="center" wrapText="1"/>
    </xf>
    <xf numFmtId="43" fontId="12" fillId="0" borderId="14" xfId="42" applyFont="1" applyFill="1" applyBorder="1" applyAlignment="1">
      <alignment horizontal="center" vertical="center"/>
    </xf>
    <xf numFmtId="40" fontId="5" fillId="0" borderId="10" xfId="42" applyNumberFormat="1" applyFont="1" applyFill="1" applyBorder="1" applyAlignment="1">
      <alignment vertical="center"/>
    </xf>
    <xf numFmtId="40" fontId="12" fillId="0" borderId="14" xfId="0" applyNumberFormat="1" applyFont="1" applyFill="1" applyBorder="1" applyAlignment="1">
      <alignment horizontal="center" vertical="center"/>
    </xf>
    <xf numFmtId="40" fontId="12" fillId="0" borderId="14" xfId="42" applyNumberFormat="1" applyFont="1" applyFill="1" applyBorder="1" applyAlignment="1">
      <alignment horizontal="center" vertical="center"/>
    </xf>
    <xf numFmtId="40" fontId="4" fillId="0" borderId="12" xfId="0" applyNumberFormat="1" applyFont="1" applyFill="1" applyBorder="1" applyAlignment="1">
      <alignment vertical="center"/>
    </xf>
    <xf numFmtId="43" fontId="15" fillId="0" borderId="14" xfId="42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 wrapText="1"/>
    </xf>
    <xf numFmtId="0" fontId="9" fillId="0" borderId="11" xfId="56" applyFont="1" applyFill="1" applyBorder="1" applyAlignment="1">
      <alignment horizontal="left" vertical="center"/>
      <protection/>
    </xf>
    <xf numFmtId="43" fontId="5" fillId="0" borderId="0" xfId="0" applyNumberFormat="1" applyFont="1" applyAlignment="1">
      <alignment horizontal="left" vertical="center"/>
    </xf>
    <xf numFmtId="0" fontId="10" fillId="0" borderId="10" xfId="56" applyFont="1" applyFill="1" applyBorder="1" applyAlignment="1">
      <alignment horizontal="center" vertical="top" wrapText="1"/>
      <protection/>
    </xf>
    <xf numFmtId="0" fontId="5" fillId="0" borderId="0" xfId="55" applyFont="1" applyAlignment="1">
      <alignment vertical="top" wrapText="1"/>
      <protection/>
    </xf>
    <xf numFmtId="4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40" fontId="17" fillId="0" borderId="10" xfId="0" applyNumberFormat="1" applyFont="1" applyBorder="1" applyAlignment="1">
      <alignment horizontal="center" vertical="center"/>
    </xf>
    <xf numFmtId="40" fontId="15" fillId="0" borderId="10" xfId="0" applyNumberFormat="1" applyFont="1" applyBorder="1" applyAlignment="1">
      <alignment horizontal="right" vertical="center"/>
    </xf>
    <xf numFmtId="40" fontId="17" fillId="0" borderId="14" xfId="42" applyNumberFormat="1" applyFont="1" applyBorder="1" applyAlignment="1">
      <alignment horizontal="center" vertical="center"/>
    </xf>
    <xf numFmtId="40" fontId="15" fillId="0" borderId="12" xfId="0" applyNumberFormat="1" applyFont="1" applyBorder="1" applyAlignment="1">
      <alignment vertical="center"/>
    </xf>
    <xf numFmtId="43" fontId="21" fillId="0" borderId="10" xfId="42" applyFont="1" applyFill="1" applyBorder="1" applyAlignment="1">
      <alignment vertical="center" wrapText="1"/>
    </xf>
    <xf numFmtId="43" fontId="22" fillId="0" borderId="10" xfId="42" applyFont="1" applyFill="1" applyBorder="1" applyAlignment="1">
      <alignment/>
    </xf>
    <xf numFmtId="43" fontId="30" fillId="0" borderId="10" xfId="42" applyFont="1" applyFill="1" applyBorder="1" applyAlignment="1">
      <alignment/>
    </xf>
    <xf numFmtId="43" fontId="22" fillId="0" borderId="10" xfId="42" applyFont="1" applyFill="1" applyBorder="1" applyAlignment="1">
      <alignment vertical="center"/>
    </xf>
    <xf numFmtId="43" fontId="20" fillId="0" borderId="10" xfId="42" applyFont="1" applyFill="1" applyBorder="1" applyAlignment="1">
      <alignment/>
    </xf>
    <xf numFmtId="43" fontId="20" fillId="0" borderId="10" xfId="42" applyFont="1" applyFill="1" applyBorder="1" applyAlignment="1">
      <alignment vertical="center" wrapText="1"/>
    </xf>
    <xf numFmtId="43" fontId="20" fillId="0" borderId="10" xfId="42" applyFont="1" applyFill="1" applyBorder="1" applyAlignment="1">
      <alignment vertical="center"/>
    </xf>
    <xf numFmtId="43" fontId="20" fillId="0" borderId="10" xfId="42" applyFont="1" applyFill="1" applyBorder="1" applyAlignment="1">
      <alignment horizontal="center"/>
    </xf>
    <xf numFmtId="43" fontId="21" fillId="0" borderId="10" xfId="42" applyFont="1" applyFill="1" applyBorder="1" applyAlignment="1">
      <alignment vertical="center"/>
    </xf>
    <xf numFmtId="43" fontId="20" fillId="0" borderId="11" xfId="42" applyFont="1" applyFill="1" applyBorder="1" applyAlignment="1">
      <alignment vertical="center" wrapText="1"/>
    </xf>
    <xf numFmtId="43" fontId="22" fillId="0" borderId="11" xfId="42" applyFont="1" applyFill="1" applyBorder="1" applyAlignment="1">
      <alignment vertical="center"/>
    </xf>
    <xf numFmtId="43" fontId="29" fillId="0" borderId="10" xfId="42" applyFont="1" applyFill="1" applyBorder="1" applyAlignment="1">
      <alignment vertical="center" wrapText="1"/>
    </xf>
    <xf numFmtId="43" fontId="22" fillId="0" borderId="12" xfId="42" applyFont="1" applyFill="1" applyBorder="1" applyAlignment="1">
      <alignment vertical="center"/>
    </xf>
    <xf numFmtId="43" fontId="29" fillId="0" borderId="10" xfId="42" applyFont="1" applyFill="1" applyBorder="1" applyAlignment="1">
      <alignment vertical="center"/>
    </xf>
    <xf numFmtId="43" fontId="10" fillId="0" borderId="10" xfId="42" applyFont="1" applyFill="1" applyBorder="1" applyAlignment="1">
      <alignment vertical="center" wrapText="1"/>
    </xf>
    <xf numFmtId="43" fontId="10" fillId="0" borderId="10" xfId="42" applyFont="1" applyFill="1" applyBorder="1" applyAlignment="1">
      <alignment vertical="center"/>
    </xf>
    <xf numFmtId="43" fontId="29" fillId="0" borderId="11" xfId="42" applyFont="1" applyFill="1" applyBorder="1" applyAlignment="1">
      <alignment vertical="center" wrapText="1"/>
    </xf>
    <xf numFmtId="43" fontId="32" fillId="0" borderId="11" xfId="42" applyFont="1" applyFill="1" applyBorder="1" applyAlignment="1">
      <alignment vertical="center"/>
    </xf>
    <xf numFmtId="43" fontId="32" fillId="0" borderId="12" xfId="42" applyFont="1" applyFill="1" applyBorder="1" applyAlignment="1">
      <alignment vertical="center"/>
    </xf>
    <xf numFmtId="38" fontId="12" fillId="0" borderId="14" xfId="42" applyNumberFormat="1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/>
    </xf>
    <xf numFmtId="38" fontId="12" fillId="0" borderId="14" xfId="0" applyNumberFormat="1" applyFont="1" applyFill="1" applyBorder="1" applyAlignment="1">
      <alignment horizontal="center" vertical="center"/>
    </xf>
    <xf numFmtId="40" fontId="12" fillId="0" borderId="10" xfId="42" applyNumberFormat="1" applyFont="1" applyFill="1" applyBorder="1" applyAlignment="1">
      <alignment vertical="center"/>
    </xf>
    <xf numFmtId="40" fontId="12" fillId="0" borderId="14" xfId="42" applyNumberFormat="1" applyFont="1" applyFill="1" applyBorder="1" applyAlignment="1">
      <alignment vertical="center"/>
    </xf>
    <xf numFmtId="40" fontId="12" fillId="0" borderId="14" xfId="42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top"/>
    </xf>
    <xf numFmtId="38" fontId="12" fillId="0" borderId="14" xfId="42" applyNumberFormat="1" applyFont="1" applyFill="1" applyBorder="1" applyAlignment="1">
      <alignment horizontal="center" vertical="center" wrapText="1"/>
    </xf>
    <xf numFmtId="40" fontId="5" fillId="0" borderId="0" xfId="0" applyNumberFormat="1" applyFont="1" applyAlignment="1">
      <alignment vertical="center"/>
    </xf>
    <xf numFmtId="0" fontId="12" fillId="0" borderId="13" xfId="0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180" fontId="12" fillId="0" borderId="14" xfId="42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top"/>
    </xf>
    <xf numFmtId="43" fontId="79" fillId="0" borderId="0" xfId="42" applyFont="1" applyFill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80" fontId="12" fillId="0" borderId="14" xfId="42" applyNumberFormat="1" applyFont="1" applyFill="1" applyBorder="1" applyAlignment="1">
      <alignment horizontal="right" vertical="center"/>
    </xf>
    <xf numFmtId="43" fontId="79" fillId="0" borderId="0" xfId="56" applyNumberFormat="1" applyFont="1" applyFill="1" applyAlignment="1">
      <alignment horizontal="center"/>
      <protection/>
    </xf>
    <xf numFmtId="43" fontId="11" fillId="0" borderId="0" xfId="42" applyFont="1" applyFill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left"/>
    </xf>
    <xf numFmtId="40" fontId="12" fillId="13" borderId="10" xfId="0" applyNumberFormat="1" applyFont="1" applyFill="1" applyBorder="1" applyAlignment="1">
      <alignment horizontal="right" vertical="center"/>
    </xf>
    <xf numFmtId="38" fontId="12" fillId="13" borderId="10" xfId="42" applyNumberFormat="1" applyFont="1" applyFill="1" applyBorder="1" applyAlignment="1">
      <alignment horizontal="center" vertical="center"/>
    </xf>
    <xf numFmtId="40" fontId="12" fillId="13" borderId="10" xfId="0" applyNumberFormat="1" applyFont="1" applyFill="1" applyBorder="1" applyAlignment="1">
      <alignment horizontal="center" vertical="center"/>
    </xf>
    <xf numFmtId="40" fontId="12" fillId="13" borderId="10" xfId="42" applyNumberFormat="1" applyFont="1" applyFill="1" applyBorder="1" applyAlignment="1">
      <alignment horizontal="right" vertical="center"/>
    </xf>
    <xf numFmtId="0" fontId="12" fillId="13" borderId="0" xfId="0" applyFont="1" applyFill="1" applyAlignment="1">
      <alignment horizontal="center" vertical="center"/>
    </xf>
    <xf numFmtId="43" fontId="12" fillId="13" borderId="0" xfId="42" applyFont="1" applyFill="1" applyAlignment="1">
      <alignment horizontal="center" vertical="center"/>
    </xf>
    <xf numFmtId="43" fontId="12" fillId="13" borderId="0" xfId="0" applyNumberFormat="1" applyFont="1" applyFill="1" applyAlignment="1">
      <alignment vertical="center"/>
    </xf>
    <xf numFmtId="0" fontId="12" fillId="13" borderId="17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/>
    </xf>
    <xf numFmtId="40" fontId="12" fillId="33" borderId="10" xfId="0" applyNumberFormat="1" applyFont="1" applyFill="1" applyBorder="1" applyAlignment="1">
      <alignment horizontal="right" vertical="center"/>
    </xf>
    <xf numFmtId="38" fontId="12" fillId="33" borderId="10" xfId="42" applyNumberFormat="1" applyFont="1" applyFill="1" applyBorder="1" applyAlignment="1">
      <alignment horizontal="center" vertical="center"/>
    </xf>
    <xf numFmtId="40" fontId="12" fillId="33" borderId="10" xfId="0" applyNumberFormat="1" applyFont="1" applyFill="1" applyBorder="1" applyAlignment="1">
      <alignment horizontal="center" vertical="center"/>
    </xf>
    <xf numFmtId="40" fontId="12" fillId="33" borderId="10" xfId="42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43" fontId="12" fillId="33" borderId="0" xfId="42" applyFont="1" applyFill="1" applyAlignment="1">
      <alignment horizontal="center" vertical="center"/>
    </xf>
    <xf numFmtId="43" fontId="12" fillId="33" borderId="0" xfId="0" applyNumberFormat="1" applyFont="1" applyFill="1" applyAlignment="1">
      <alignment vertical="center"/>
    </xf>
    <xf numFmtId="0" fontId="12" fillId="33" borderId="17" xfId="0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left" vertical="center"/>
    </xf>
    <xf numFmtId="40" fontId="12" fillId="34" borderId="10" xfId="0" applyNumberFormat="1" applyFont="1" applyFill="1" applyBorder="1" applyAlignment="1">
      <alignment horizontal="right" vertical="center"/>
    </xf>
    <xf numFmtId="38" fontId="12" fillId="34" borderId="10" xfId="42" applyNumberFormat="1" applyFont="1" applyFill="1" applyBorder="1" applyAlignment="1">
      <alignment horizontal="center" vertical="center"/>
    </xf>
    <xf numFmtId="40" fontId="12" fillId="34" borderId="10" xfId="0" applyNumberFormat="1" applyFont="1" applyFill="1" applyBorder="1" applyAlignment="1">
      <alignment horizontal="center" vertical="center"/>
    </xf>
    <xf numFmtId="40" fontId="12" fillId="34" borderId="10" xfId="42" applyNumberFormat="1" applyFont="1" applyFill="1" applyBorder="1" applyAlignment="1">
      <alignment horizontal="right" vertical="center"/>
    </xf>
    <xf numFmtId="0" fontId="12" fillId="34" borderId="0" xfId="0" applyFont="1" applyFill="1" applyAlignment="1">
      <alignment horizontal="center" vertical="center"/>
    </xf>
    <xf numFmtId="43" fontId="12" fillId="34" borderId="0" xfId="42" applyFont="1" applyFill="1" applyAlignment="1">
      <alignment horizontal="center" vertical="center"/>
    </xf>
    <xf numFmtId="43" fontId="12" fillId="34" borderId="0" xfId="0" applyNumberFormat="1" applyFont="1" applyFill="1" applyAlignment="1">
      <alignment vertical="center"/>
    </xf>
    <xf numFmtId="0" fontId="12" fillId="12" borderId="11" xfId="0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left" vertical="center"/>
    </xf>
    <xf numFmtId="40" fontId="12" fillId="12" borderId="10" xfId="0" applyNumberFormat="1" applyFont="1" applyFill="1" applyBorder="1" applyAlignment="1">
      <alignment horizontal="right" vertical="center"/>
    </xf>
    <xf numFmtId="38" fontId="12" fillId="12" borderId="10" xfId="42" applyNumberFormat="1" applyFont="1" applyFill="1" applyBorder="1" applyAlignment="1">
      <alignment horizontal="center" vertical="center"/>
    </xf>
    <xf numFmtId="40" fontId="12" fillId="12" borderId="10" xfId="0" applyNumberFormat="1" applyFont="1" applyFill="1" applyBorder="1" applyAlignment="1">
      <alignment horizontal="center" vertical="center"/>
    </xf>
    <xf numFmtId="40" fontId="12" fillId="12" borderId="10" xfId="42" applyNumberFormat="1" applyFont="1" applyFill="1" applyBorder="1" applyAlignment="1">
      <alignment horizontal="right" vertical="center"/>
    </xf>
    <xf numFmtId="0" fontId="12" fillId="12" borderId="0" xfId="0" applyFont="1" applyFill="1" applyAlignment="1">
      <alignment horizontal="center" vertical="center"/>
    </xf>
    <xf numFmtId="43" fontId="12" fillId="12" borderId="0" xfId="42" applyFont="1" applyFill="1" applyAlignment="1">
      <alignment horizontal="center" vertical="center"/>
    </xf>
    <xf numFmtId="43" fontId="12" fillId="12" borderId="0" xfId="0" applyNumberFormat="1" applyFont="1" applyFill="1" applyAlignment="1">
      <alignment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left" vertical="center"/>
    </xf>
    <xf numFmtId="40" fontId="12" fillId="35" borderId="10" xfId="0" applyNumberFormat="1" applyFont="1" applyFill="1" applyBorder="1" applyAlignment="1">
      <alignment horizontal="right" vertical="center"/>
    </xf>
    <xf numFmtId="38" fontId="12" fillId="35" borderId="10" xfId="42" applyNumberFormat="1" applyFont="1" applyFill="1" applyBorder="1" applyAlignment="1">
      <alignment horizontal="center" vertical="center"/>
    </xf>
    <xf numFmtId="40" fontId="12" fillId="35" borderId="10" xfId="0" applyNumberFormat="1" applyFont="1" applyFill="1" applyBorder="1" applyAlignment="1">
      <alignment horizontal="center" vertical="center"/>
    </xf>
    <xf numFmtId="40" fontId="12" fillId="35" borderId="10" xfId="42" applyNumberFormat="1" applyFont="1" applyFill="1" applyBorder="1" applyAlignment="1">
      <alignment horizontal="right" vertical="center"/>
    </xf>
    <xf numFmtId="0" fontId="12" fillId="35" borderId="0" xfId="0" applyFont="1" applyFill="1" applyAlignment="1">
      <alignment horizontal="center" vertical="center"/>
    </xf>
    <xf numFmtId="43" fontId="12" fillId="35" borderId="0" xfId="42" applyFont="1" applyFill="1" applyAlignment="1">
      <alignment horizontal="center" vertical="center"/>
    </xf>
    <xf numFmtId="43" fontId="12" fillId="35" borderId="0" xfId="0" applyNumberFormat="1" applyFont="1" applyFill="1" applyAlignment="1">
      <alignment vertical="center"/>
    </xf>
    <xf numFmtId="43" fontId="12" fillId="36" borderId="0" xfId="42" applyFont="1" applyFill="1" applyAlignment="1">
      <alignment horizontal="center" vertical="center"/>
    </xf>
    <xf numFmtId="0" fontId="12" fillId="35" borderId="17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left"/>
    </xf>
    <xf numFmtId="40" fontId="12" fillId="36" borderId="10" xfId="0" applyNumberFormat="1" applyFont="1" applyFill="1" applyBorder="1" applyAlignment="1">
      <alignment horizontal="right" vertical="center"/>
    </xf>
    <xf numFmtId="38" fontId="12" fillId="36" borderId="10" xfId="42" applyNumberFormat="1" applyFont="1" applyFill="1" applyBorder="1" applyAlignment="1">
      <alignment horizontal="center" vertical="center"/>
    </xf>
    <xf numFmtId="40" fontId="12" fillId="36" borderId="10" xfId="0" applyNumberFormat="1" applyFont="1" applyFill="1" applyBorder="1" applyAlignment="1">
      <alignment horizontal="center" vertical="center"/>
    </xf>
    <xf numFmtId="40" fontId="12" fillId="36" borderId="10" xfId="42" applyNumberFormat="1" applyFont="1" applyFill="1" applyBorder="1" applyAlignment="1">
      <alignment horizontal="right" vertical="center"/>
    </xf>
    <xf numFmtId="0" fontId="12" fillId="36" borderId="0" xfId="0" applyFont="1" applyFill="1" applyAlignment="1">
      <alignment horizontal="center" vertical="center"/>
    </xf>
    <xf numFmtId="43" fontId="12" fillId="36" borderId="0" xfId="0" applyNumberFormat="1" applyFont="1" applyFill="1" applyAlignment="1">
      <alignment vertical="center"/>
    </xf>
    <xf numFmtId="0" fontId="12" fillId="37" borderId="11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left"/>
    </xf>
    <xf numFmtId="40" fontId="12" fillId="37" borderId="10" xfId="0" applyNumberFormat="1" applyFont="1" applyFill="1" applyBorder="1" applyAlignment="1">
      <alignment horizontal="right" vertical="center"/>
    </xf>
    <xf numFmtId="38" fontId="12" fillId="37" borderId="10" xfId="42" applyNumberFormat="1" applyFont="1" applyFill="1" applyBorder="1" applyAlignment="1">
      <alignment horizontal="center" vertical="center"/>
    </xf>
    <xf numFmtId="40" fontId="12" fillId="37" borderId="10" xfId="0" applyNumberFormat="1" applyFont="1" applyFill="1" applyBorder="1" applyAlignment="1">
      <alignment horizontal="center" vertical="center"/>
    </xf>
    <xf numFmtId="40" fontId="12" fillId="37" borderId="10" xfId="42" applyNumberFormat="1" applyFont="1" applyFill="1" applyBorder="1" applyAlignment="1">
      <alignment horizontal="right" vertical="center"/>
    </xf>
    <xf numFmtId="0" fontId="12" fillId="37" borderId="0" xfId="0" applyFont="1" applyFill="1" applyAlignment="1">
      <alignment horizontal="center" vertical="center"/>
    </xf>
    <xf numFmtId="43" fontId="12" fillId="37" borderId="0" xfId="42" applyFont="1" applyFill="1" applyAlignment="1">
      <alignment horizontal="center" vertical="center"/>
    </xf>
    <xf numFmtId="43" fontId="12" fillId="37" borderId="0" xfId="0" applyNumberFormat="1" applyFont="1" applyFill="1" applyAlignment="1">
      <alignment vertical="center"/>
    </xf>
    <xf numFmtId="40" fontId="12" fillId="0" borderId="10" xfId="0" applyNumberFormat="1" applyFont="1" applyFill="1" applyBorder="1" applyAlignment="1">
      <alignment vertical="center"/>
    </xf>
    <xf numFmtId="43" fontId="12" fillId="0" borderId="0" xfId="0" applyNumberFormat="1" applyFont="1" applyFill="1" applyAlignment="1">
      <alignment vertical="center"/>
    </xf>
    <xf numFmtId="0" fontId="12" fillId="17" borderId="11" xfId="0" applyFont="1" applyFill="1" applyBorder="1" applyAlignment="1">
      <alignment vertical="center"/>
    </xf>
    <xf numFmtId="0" fontId="12" fillId="17" borderId="17" xfId="0" applyFont="1" applyFill="1" applyBorder="1" applyAlignment="1">
      <alignment horizontal="left"/>
    </xf>
    <xf numFmtId="40" fontId="12" fillId="17" borderId="10" xfId="0" applyNumberFormat="1" applyFont="1" applyFill="1" applyBorder="1" applyAlignment="1">
      <alignment vertical="center"/>
    </xf>
    <xf numFmtId="38" fontId="12" fillId="17" borderId="10" xfId="42" applyNumberFormat="1" applyFont="1" applyFill="1" applyBorder="1" applyAlignment="1">
      <alignment horizontal="center"/>
    </xf>
    <xf numFmtId="40" fontId="12" fillId="17" borderId="10" xfId="0" applyNumberFormat="1" applyFont="1" applyFill="1" applyBorder="1" applyAlignment="1">
      <alignment horizontal="center"/>
    </xf>
    <xf numFmtId="40" fontId="12" fillId="17" borderId="10" xfId="42" applyNumberFormat="1" applyFont="1" applyFill="1" applyBorder="1" applyAlignment="1">
      <alignment horizontal="right" vertical="center"/>
    </xf>
    <xf numFmtId="0" fontId="12" fillId="17" borderId="0" xfId="0" applyFont="1" applyFill="1" applyAlignment="1">
      <alignment vertical="center"/>
    </xf>
    <xf numFmtId="43" fontId="12" fillId="17" borderId="0" xfId="42" applyFont="1" applyFill="1" applyAlignment="1">
      <alignment vertical="center"/>
    </xf>
    <xf numFmtId="43" fontId="12" fillId="17" borderId="0" xfId="0" applyNumberFormat="1" applyFont="1" applyFill="1" applyAlignment="1">
      <alignment vertical="center"/>
    </xf>
    <xf numFmtId="0" fontId="12" fillId="38" borderId="11" xfId="0" applyFont="1" applyFill="1" applyBorder="1" applyAlignment="1">
      <alignment vertical="center"/>
    </xf>
    <xf numFmtId="0" fontId="12" fillId="38" borderId="17" xfId="0" applyFont="1" applyFill="1" applyBorder="1" applyAlignment="1">
      <alignment horizontal="left"/>
    </xf>
    <xf numFmtId="40" fontId="12" fillId="38" borderId="10" xfId="0" applyNumberFormat="1" applyFont="1" applyFill="1" applyBorder="1" applyAlignment="1">
      <alignment vertical="center"/>
    </xf>
    <xf numFmtId="38" fontId="12" fillId="38" borderId="10" xfId="42" applyNumberFormat="1" applyFont="1" applyFill="1" applyBorder="1" applyAlignment="1">
      <alignment horizontal="center"/>
    </xf>
    <xf numFmtId="40" fontId="12" fillId="38" borderId="10" xfId="0" applyNumberFormat="1" applyFont="1" applyFill="1" applyBorder="1" applyAlignment="1">
      <alignment horizontal="center"/>
    </xf>
    <xf numFmtId="40" fontId="12" fillId="38" borderId="10" xfId="42" applyNumberFormat="1" applyFont="1" applyFill="1" applyBorder="1" applyAlignment="1">
      <alignment horizontal="right" vertical="center"/>
    </xf>
    <xf numFmtId="0" fontId="12" fillId="38" borderId="0" xfId="0" applyFont="1" applyFill="1" applyAlignment="1">
      <alignment vertical="center"/>
    </xf>
    <xf numFmtId="43" fontId="12" fillId="38" borderId="0" xfId="42" applyFont="1" applyFill="1" applyAlignment="1">
      <alignment vertical="center"/>
    </xf>
    <xf numFmtId="43" fontId="12" fillId="38" borderId="0" xfId="0" applyNumberFormat="1" applyFont="1" applyFill="1" applyAlignment="1">
      <alignment vertical="center"/>
    </xf>
    <xf numFmtId="0" fontId="12" fillId="16" borderId="11" xfId="0" applyFont="1" applyFill="1" applyBorder="1" applyAlignment="1">
      <alignment vertical="center"/>
    </xf>
    <xf numFmtId="0" fontId="12" fillId="16" borderId="17" xfId="0" applyFont="1" applyFill="1" applyBorder="1" applyAlignment="1">
      <alignment horizontal="left"/>
    </xf>
    <xf numFmtId="40" fontId="12" fillId="16" borderId="10" xfId="0" applyNumberFormat="1" applyFont="1" applyFill="1" applyBorder="1" applyAlignment="1">
      <alignment vertical="center"/>
    </xf>
    <xf numFmtId="38" fontId="12" fillId="16" borderId="10" xfId="42" applyNumberFormat="1" applyFont="1" applyFill="1" applyBorder="1" applyAlignment="1">
      <alignment horizontal="center"/>
    </xf>
    <xf numFmtId="40" fontId="12" fillId="16" borderId="10" xfId="0" applyNumberFormat="1" applyFont="1" applyFill="1" applyBorder="1" applyAlignment="1">
      <alignment horizontal="center"/>
    </xf>
    <xf numFmtId="40" fontId="12" fillId="16" borderId="10" xfId="42" applyNumberFormat="1" applyFont="1" applyFill="1" applyBorder="1" applyAlignment="1">
      <alignment horizontal="right" vertical="center"/>
    </xf>
    <xf numFmtId="0" fontId="12" fillId="16" borderId="0" xfId="0" applyFont="1" applyFill="1" applyAlignment="1">
      <alignment vertical="center"/>
    </xf>
    <xf numFmtId="43" fontId="12" fillId="16" borderId="0" xfId="42" applyFont="1" applyFill="1" applyAlignment="1">
      <alignment vertical="center"/>
    </xf>
    <xf numFmtId="43" fontId="12" fillId="16" borderId="0" xfId="0" applyNumberFormat="1" applyFont="1" applyFill="1" applyAlignment="1">
      <alignment vertical="center"/>
    </xf>
    <xf numFmtId="40" fontId="12" fillId="9" borderId="14" xfId="0" applyNumberFormat="1" applyFont="1" applyFill="1" applyBorder="1" applyAlignment="1">
      <alignment horizontal="center" vertical="center" wrapText="1"/>
    </xf>
    <xf numFmtId="40" fontId="12" fillId="9" borderId="10" xfId="42" applyNumberFormat="1" applyFont="1" applyFill="1" applyBorder="1" applyAlignment="1">
      <alignment horizontal="right" vertical="center"/>
    </xf>
    <xf numFmtId="0" fontId="12" fillId="9" borderId="0" xfId="0" applyFont="1" applyFill="1" applyAlignment="1">
      <alignment vertical="center"/>
    </xf>
    <xf numFmtId="43" fontId="12" fillId="9" borderId="0" xfId="42" applyFont="1" applyFill="1" applyAlignment="1">
      <alignment vertical="center"/>
    </xf>
    <xf numFmtId="43" fontId="12" fillId="9" borderId="0" xfId="0" applyNumberFormat="1" applyFont="1" applyFill="1" applyAlignment="1">
      <alignment vertical="center"/>
    </xf>
    <xf numFmtId="0" fontId="12" fillId="9" borderId="11" xfId="0" applyFont="1" applyFill="1" applyBorder="1" applyAlignment="1">
      <alignment vertical="center"/>
    </xf>
    <xf numFmtId="0" fontId="12" fillId="9" borderId="17" xfId="0" applyFont="1" applyFill="1" applyBorder="1" applyAlignment="1">
      <alignment horizontal="left"/>
    </xf>
    <xf numFmtId="40" fontId="12" fillId="9" borderId="14" xfId="0" applyNumberFormat="1" applyFont="1" applyFill="1" applyBorder="1" applyAlignment="1">
      <alignment vertical="center"/>
    </xf>
    <xf numFmtId="38" fontId="12" fillId="9" borderId="14" xfId="42" applyNumberFormat="1" applyFont="1" applyFill="1" applyBorder="1" applyAlignment="1">
      <alignment horizontal="center"/>
    </xf>
    <xf numFmtId="40" fontId="12" fillId="9" borderId="14" xfId="0" applyNumberFormat="1" applyFont="1" applyFill="1" applyBorder="1" applyAlignment="1">
      <alignment horizontal="center"/>
    </xf>
    <xf numFmtId="0" fontId="12" fillId="39" borderId="11" xfId="0" applyFont="1" applyFill="1" applyBorder="1" applyAlignment="1">
      <alignment vertical="center"/>
    </xf>
    <xf numFmtId="0" fontId="12" fillId="39" borderId="17" xfId="0" applyFont="1" applyFill="1" applyBorder="1" applyAlignment="1">
      <alignment horizontal="left"/>
    </xf>
    <xf numFmtId="40" fontId="12" fillId="39" borderId="14" xfId="0" applyNumberFormat="1" applyFont="1" applyFill="1" applyBorder="1" applyAlignment="1">
      <alignment vertical="center"/>
    </xf>
    <xf numFmtId="38" fontId="12" fillId="39" borderId="14" xfId="42" applyNumberFormat="1" applyFont="1" applyFill="1" applyBorder="1" applyAlignment="1">
      <alignment horizontal="center"/>
    </xf>
    <xf numFmtId="40" fontId="12" fillId="39" borderId="14" xfId="0" applyNumberFormat="1" applyFont="1" applyFill="1" applyBorder="1" applyAlignment="1">
      <alignment horizontal="center"/>
    </xf>
    <xf numFmtId="40" fontId="12" fillId="39" borderId="10" xfId="42" applyNumberFormat="1" applyFont="1" applyFill="1" applyBorder="1" applyAlignment="1">
      <alignment horizontal="right" vertical="center"/>
    </xf>
    <xf numFmtId="0" fontId="12" fillId="39" borderId="0" xfId="0" applyFont="1" applyFill="1" applyAlignment="1">
      <alignment vertical="center"/>
    </xf>
    <xf numFmtId="43" fontId="12" fillId="39" borderId="0" xfId="42" applyFont="1" applyFill="1" applyAlignment="1">
      <alignment vertical="center"/>
    </xf>
    <xf numFmtId="43" fontId="12" fillId="39" borderId="0" xfId="0" applyNumberFormat="1" applyFont="1" applyFill="1" applyAlignment="1">
      <alignment vertical="center"/>
    </xf>
    <xf numFmtId="0" fontId="12" fillId="37" borderId="11" xfId="0" applyFont="1" applyFill="1" applyBorder="1" applyAlignment="1">
      <alignment vertical="center"/>
    </xf>
    <xf numFmtId="40" fontId="12" fillId="37" borderId="14" xfId="0" applyNumberFormat="1" applyFont="1" applyFill="1" applyBorder="1" applyAlignment="1">
      <alignment vertical="center"/>
    </xf>
    <xf numFmtId="38" fontId="12" fillId="37" borderId="14" xfId="42" applyNumberFormat="1" applyFont="1" applyFill="1" applyBorder="1" applyAlignment="1">
      <alignment horizontal="center"/>
    </xf>
    <xf numFmtId="40" fontId="12" fillId="37" borderId="14" xfId="0" applyNumberFormat="1" applyFont="1" applyFill="1" applyBorder="1" applyAlignment="1">
      <alignment horizontal="center"/>
    </xf>
    <xf numFmtId="0" fontId="12" fillId="37" borderId="0" xfId="0" applyFont="1" applyFill="1" applyAlignment="1">
      <alignment vertical="center"/>
    </xf>
    <xf numFmtId="43" fontId="12" fillId="37" borderId="0" xfId="42" applyFont="1" applyFill="1" applyAlignment="1">
      <alignment vertical="center"/>
    </xf>
    <xf numFmtId="40" fontId="12" fillId="40" borderId="14" xfId="0" applyNumberFormat="1" applyFont="1" applyFill="1" applyBorder="1" applyAlignment="1">
      <alignment horizontal="center" vertical="center" wrapText="1"/>
    </xf>
    <xf numFmtId="0" fontId="12" fillId="40" borderId="0" xfId="0" applyFont="1" applyFill="1" applyAlignment="1">
      <alignment vertical="center"/>
    </xf>
    <xf numFmtId="43" fontId="12" fillId="40" borderId="0" xfId="42" applyFont="1" applyFill="1" applyAlignment="1">
      <alignment vertical="center"/>
    </xf>
    <xf numFmtId="43" fontId="12" fillId="40" borderId="0" xfId="0" applyNumberFormat="1" applyFont="1" applyFill="1" applyAlignment="1">
      <alignment vertical="center"/>
    </xf>
    <xf numFmtId="0" fontId="12" fillId="40" borderId="11" xfId="0" applyFont="1" applyFill="1" applyBorder="1" applyAlignment="1">
      <alignment vertical="center"/>
    </xf>
    <xf numFmtId="0" fontId="12" fillId="40" borderId="17" xfId="0" applyFont="1" applyFill="1" applyBorder="1" applyAlignment="1">
      <alignment horizontal="left"/>
    </xf>
    <xf numFmtId="40" fontId="12" fillId="40" borderId="14" xfId="0" applyNumberFormat="1" applyFont="1" applyFill="1" applyBorder="1" applyAlignment="1">
      <alignment vertical="center"/>
    </xf>
    <xf numFmtId="38" fontId="12" fillId="40" borderId="14" xfId="42" applyNumberFormat="1" applyFont="1" applyFill="1" applyBorder="1" applyAlignment="1">
      <alignment horizontal="center"/>
    </xf>
    <xf numFmtId="40" fontId="12" fillId="40" borderId="14" xfId="0" applyNumberFormat="1" applyFont="1" applyFill="1" applyBorder="1" applyAlignment="1">
      <alignment horizontal="center"/>
    </xf>
    <xf numFmtId="0" fontId="12" fillId="15" borderId="11" xfId="0" applyFont="1" applyFill="1" applyBorder="1" applyAlignment="1">
      <alignment vertical="center"/>
    </xf>
    <xf numFmtId="0" fontId="12" fillId="15" borderId="17" xfId="0" applyFont="1" applyFill="1" applyBorder="1" applyAlignment="1">
      <alignment horizontal="left"/>
    </xf>
    <xf numFmtId="40" fontId="12" fillId="15" borderId="14" xfId="0" applyNumberFormat="1" applyFont="1" applyFill="1" applyBorder="1" applyAlignment="1">
      <alignment vertical="center"/>
    </xf>
    <xf numFmtId="38" fontId="12" fillId="15" borderId="14" xfId="42" applyNumberFormat="1" applyFont="1" applyFill="1" applyBorder="1" applyAlignment="1">
      <alignment horizontal="center"/>
    </xf>
    <xf numFmtId="40" fontId="12" fillId="15" borderId="14" xfId="0" applyNumberFormat="1" applyFont="1" applyFill="1" applyBorder="1" applyAlignment="1">
      <alignment horizontal="center"/>
    </xf>
    <xf numFmtId="0" fontId="12" fillId="15" borderId="0" xfId="0" applyFont="1" applyFill="1" applyAlignment="1">
      <alignment vertical="center"/>
    </xf>
    <xf numFmtId="43" fontId="12" fillId="15" borderId="0" xfId="42" applyFont="1" applyFill="1" applyAlignment="1">
      <alignment vertical="center"/>
    </xf>
    <xf numFmtId="43" fontId="12" fillId="15" borderId="0" xfId="0" applyNumberFormat="1" applyFont="1" applyFill="1" applyAlignment="1">
      <alignment vertical="center"/>
    </xf>
    <xf numFmtId="0" fontId="12" fillId="41" borderId="0" xfId="0" applyFont="1" applyFill="1" applyAlignment="1">
      <alignment vertical="center"/>
    </xf>
    <xf numFmtId="43" fontId="12" fillId="41" borderId="0" xfId="42" applyFont="1" applyFill="1" applyAlignment="1">
      <alignment vertical="center"/>
    </xf>
    <xf numFmtId="43" fontId="12" fillId="41" borderId="0" xfId="0" applyNumberFormat="1" applyFont="1" applyFill="1" applyAlignment="1">
      <alignment vertical="center"/>
    </xf>
    <xf numFmtId="0" fontId="12" fillId="42" borderId="11" xfId="0" applyFont="1" applyFill="1" applyBorder="1" applyAlignment="1">
      <alignment vertical="center"/>
    </xf>
    <xf numFmtId="0" fontId="12" fillId="42" borderId="17" xfId="0" applyFont="1" applyFill="1" applyBorder="1" applyAlignment="1">
      <alignment horizontal="left"/>
    </xf>
    <xf numFmtId="40" fontId="12" fillId="42" borderId="14" xfId="0" applyNumberFormat="1" applyFont="1" applyFill="1" applyBorder="1" applyAlignment="1">
      <alignment vertical="center"/>
    </xf>
    <xf numFmtId="38" fontId="12" fillId="42" borderId="14" xfId="42" applyNumberFormat="1" applyFont="1" applyFill="1" applyBorder="1" applyAlignment="1">
      <alignment horizontal="center"/>
    </xf>
    <xf numFmtId="40" fontId="12" fillId="42" borderId="14" xfId="0" applyNumberFormat="1" applyFont="1" applyFill="1" applyBorder="1" applyAlignment="1">
      <alignment horizontal="center"/>
    </xf>
    <xf numFmtId="0" fontId="12" fillId="42" borderId="0" xfId="0" applyFont="1" applyFill="1" applyAlignment="1">
      <alignment vertical="center"/>
    </xf>
    <xf numFmtId="43" fontId="12" fillId="42" borderId="0" xfId="42" applyFont="1" applyFill="1" applyAlignment="1">
      <alignment vertical="center"/>
    </xf>
    <xf numFmtId="43" fontId="12" fillId="42" borderId="0" xfId="0" applyNumberFormat="1" applyFont="1" applyFill="1" applyAlignment="1">
      <alignment vertical="center"/>
    </xf>
    <xf numFmtId="0" fontId="12" fillId="13" borderId="11" xfId="0" applyFont="1" applyFill="1" applyBorder="1" applyAlignment="1">
      <alignment vertical="center"/>
    </xf>
    <xf numFmtId="40" fontId="12" fillId="13" borderId="14" xfId="0" applyNumberFormat="1" applyFont="1" applyFill="1" applyBorder="1" applyAlignment="1">
      <alignment vertical="center"/>
    </xf>
    <xf numFmtId="40" fontId="12" fillId="13" borderId="14" xfId="0" applyNumberFormat="1" applyFont="1" applyFill="1" applyBorder="1" applyAlignment="1">
      <alignment horizontal="center" wrapText="1"/>
    </xf>
    <xf numFmtId="0" fontId="12" fillId="13" borderId="0" xfId="0" applyFont="1" applyFill="1" applyAlignment="1">
      <alignment vertical="center"/>
    </xf>
    <xf numFmtId="43" fontId="12" fillId="13" borderId="0" xfId="42" applyFont="1" applyFill="1" applyAlignment="1">
      <alignment vertical="center"/>
    </xf>
    <xf numFmtId="39" fontId="11" fillId="0" borderId="0" xfId="0" applyNumberFormat="1" applyFont="1" applyFill="1" applyAlignment="1">
      <alignment vertical="center"/>
    </xf>
    <xf numFmtId="39" fontId="12" fillId="0" borderId="10" xfId="0" applyNumberFormat="1" applyFont="1" applyFill="1" applyBorder="1" applyAlignment="1">
      <alignment vertical="center"/>
    </xf>
    <xf numFmtId="39" fontId="12" fillId="0" borderId="0" xfId="0" applyNumberFormat="1" applyFont="1" applyFill="1" applyAlignment="1">
      <alignment vertical="center"/>
    </xf>
    <xf numFmtId="0" fontId="84" fillId="0" borderId="17" xfId="0" applyFont="1" applyFill="1" applyBorder="1" applyAlignment="1">
      <alignment horizontal="left" vertical="center"/>
    </xf>
    <xf numFmtId="40" fontId="12" fillId="41" borderId="10" xfId="42" applyNumberFormat="1" applyFont="1" applyFill="1" applyBorder="1" applyAlignment="1">
      <alignment horizontal="right" vertical="center"/>
    </xf>
    <xf numFmtId="40" fontId="12" fillId="15" borderId="10" xfId="42" applyNumberFormat="1" applyFont="1" applyFill="1" applyBorder="1" applyAlignment="1">
      <alignment horizontal="right" vertical="center"/>
    </xf>
    <xf numFmtId="40" fontId="12" fillId="40" borderId="10" xfId="42" applyNumberFormat="1" applyFont="1" applyFill="1" applyBorder="1" applyAlignment="1">
      <alignment horizontal="right" vertical="center"/>
    </xf>
    <xf numFmtId="40" fontId="12" fillId="39" borderId="14" xfId="0" applyNumberFormat="1" applyFont="1" applyFill="1" applyBorder="1" applyAlignment="1">
      <alignment horizontal="center" wrapText="1"/>
    </xf>
    <xf numFmtId="38" fontId="12" fillId="39" borderId="14" xfId="42" applyNumberFormat="1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left" vertical="center"/>
    </xf>
    <xf numFmtId="40" fontId="12" fillId="42" borderId="10" xfId="42" applyNumberFormat="1" applyFont="1" applyFill="1" applyBorder="1" applyAlignment="1">
      <alignment horizontal="right" vertical="center"/>
    </xf>
    <xf numFmtId="0" fontId="12" fillId="41" borderId="11" xfId="0" applyFont="1" applyFill="1" applyBorder="1" applyAlignment="1">
      <alignment vertical="center"/>
    </xf>
    <xf numFmtId="0" fontId="12" fillId="41" borderId="17" xfId="0" applyFont="1" applyFill="1" applyBorder="1" applyAlignment="1">
      <alignment horizontal="left" vertical="center"/>
    </xf>
    <xf numFmtId="40" fontId="12" fillId="41" borderId="14" xfId="0" applyNumberFormat="1" applyFont="1" applyFill="1" applyBorder="1" applyAlignment="1">
      <alignment vertical="center"/>
    </xf>
    <xf numFmtId="38" fontId="12" fillId="41" borderId="14" xfId="42" applyNumberFormat="1" applyFont="1" applyFill="1" applyBorder="1" applyAlignment="1">
      <alignment horizontal="center" vertical="center"/>
    </xf>
    <xf numFmtId="40" fontId="12" fillId="41" borderId="14" xfId="0" applyNumberFormat="1" applyFont="1" applyFill="1" applyBorder="1" applyAlignment="1">
      <alignment horizontal="center" vertical="center" wrapText="1"/>
    </xf>
    <xf numFmtId="0" fontId="12" fillId="40" borderId="17" xfId="0" applyFont="1" applyFill="1" applyBorder="1" applyAlignment="1">
      <alignment vertical="center"/>
    </xf>
    <xf numFmtId="38" fontId="12" fillId="40" borderId="14" xfId="42" applyNumberFormat="1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left" vertical="center" wrapText="1"/>
    </xf>
    <xf numFmtId="38" fontId="12" fillId="9" borderId="14" xfId="42" applyNumberFormat="1" applyFont="1" applyFill="1" applyBorder="1" applyAlignment="1">
      <alignment horizontal="center" vertical="center" wrapText="1"/>
    </xf>
    <xf numFmtId="0" fontId="12" fillId="43" borderId="0" xfId="0" applyFont="1" applyFill="1" applyAlignment="1">
      <alignment horizontal="center" vertical="center"/>
    </xf>
    <xf numFmtId="0" fontId="12" fillId="43" borderId="11" xfId="0" applyFont="1" applyFill="1" applyBorder="1" applyAlignment="1">
      <alignment horizontal="center" vertical="center"/>
    </xf>
    <xf numFmtId="0" fontId="12" fillId="43" borderId="17" xfId="0" applyFont="1" applyFill="1" applyBorder="1" applyAlignment="1">
      <alignment horizontal="left" vertical="center"/>
    </xf>
    <xf numFmtId="40" fontId="12" fillId="43" borderId="10" xfId="0" applyNumberFormat="1" applyFont="1" applyFill="1" applyBorder="1" applyAlignment="1">
      <alignment horizontal="right" vertical="center"/>
    </xf>
    <xf numFmtId="38" fontId="12" fillId="43" borderId="10" xfId="42" applyNumberFormat="1" applyFont="1" applyFill="1" applyBorder="1" applyAlignment="1">
      <alignment horizontal="center" vertical="center"/>
    </xf>
    <xf numFmtId="40" fontId="12" fillId="43" borderId="10" xfId="0" applyNumberFormat="1" applyFont="1" applyFill="1" applyBorder="1" applyAlignment="1">
      <alignment horizontal="center" vertical="center"/>
    </xf>
    <xf numFmtId="40" fontId="12" fillId="43" borderId="10" xfId="42" applyNumberFormat="1" applyFont="1" applyFill="1" applyBorder="1" applyAlignment="1">
      <alignment horizontal="right" vertical="center"/>
    </xf>
    <xf numFmtId="43" fontId="12" fillId="43" borderId="0" xfId="42" applyFont="1" applyFill="1" applyAlignment="1">
      <alignment horizontal="center" vertical="center"/>
    </xf>
    <xf numFmtId="43" fontId="12" fillId="43" borderId="0" xfId="0" applyNumberFormat="1" applyFont="1" applyFill="1" applyAlignment="1">
      <alignment vertical="center"/>
    </xf>
    <xf numFmtId="3" fontId="12" fillId="0" borderId="17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top"/>
    </xf>
    <xf numFmtId="0" fontId="12" fillId="43" borderId="17" xfId="0" applyFont="1" applyFill="1" applyBorder="1" applyAlignment="1">
      <alignment horizontal="left"/>
    </xf>
    <xf numFmtId="0" fontId="12" fillId="43" borderId="0" xfId="0" applyFont="1" applyFill="1" applyAlignment="1">
      <alignment vertical="center"/>
    </xf>
    <xf numFmtId="0" fontId="12" fillId="43" borderId="11" xfId="0" applyFont="1" applyFill="1" applyBorder="1" applyAlignment="1">
      <alignment vertical="center"/>
    </xf>
    <xf numFmtId="40" fontId="12" fillId="43" borderId="14" xfId="0" applyNumberFormat="1" applyFont="1" applyFill="1" applyBorder="1" applyAlignment="1">
      <alignment vertical="center"/>
    </xf>
    <xf numFmtId="38" fontId="12" fillId="43" borderId="14" xfId="42" applyNumberFormat="1" applyFont="1" applyFill="1" applyBorder="1" applyAlignment="1">
      <alignment horizontal="center"/>
    </xf>
    <xf numFmtId="40" fontId="12" fillId="43" borderId="14" xfId="0" applyNumberFormat="1" applyFont="1" applyFill="1" applyBorder="1" applyAlignment="1">
      <alignment horizontal="center"/>
    </xf>
    <xf numFmtId="43" fontId="12" fillId="43" borderId="0" xfId="42" applyFont="1" applyFill="1" applyAlignment="1">
      <alignment vertical="center"/>
    </xf>
    <xf numFmtId="38" fontId="12" fillId="43" borderId="14" xfId="42" applyNumberFormat="1" applyFont="1" applyFill="1" applyBorder="1" applyAlignment="1">
      <alignment horizontal="center" vertical="center"/>
    </xf>
    <xf numFmtId="40" fontId="12" fillId="43" borderId="14" xfId="0" applyNumberFormat="1" applyFont="1" applyFill="1" applyBorder="1" applyAlignment="1">
      <alignment horizontal="center" wrapText="1"/>
    </xf>
    <xf numFmtId="0" fontId="5" fillId="43" borderId="11" xfId="0" applyFont="1" applyFill="1" applyBorder="1" applyAlignment="1">
      <alignment horizontal="center" vertical="top"/>
    </xf>
    <xf numFmtId="4" fontId="5" fillId="43" borderId="10" xfId="0" applyNumberFormat="1" applyFont="1" applyFill="1" applyBorder="1" applyAlignment="1">
      <alignment horizontal="right" vertical="center"/>
    </xf>
    <xf numFmtId="43" fontId="12" fillId="43" borderId="10" xfId="42" applyFont="1" applyFill="1" applyBorder="1" applyAlignment="1">
      <alignment horizontal="right" vertical="center"/>
    </xf>
    <xf numFmtId="3" fontId="12" fillId="43" borderId="10" xfId="0" applyNumberFormat="1" applyFont="1" applyFill="1" applyBorder="1" applyAlignment="1">
      <alignment horizontal="right" vertical="center"/>
    </xf>
    <xf numFmtId="4" fontId="12" fillId="43" borderId="13" xfId="0" applyNumberFormat="1" applyFont="1" applyFill="1" applyBorder="1" applyAlignment="1">
      <alignment horizontal="right"/>
    </xf>
    <xf numFmtId="180" fontId="12" fillId="43" borderId="10" xfId="42" applyNumberFormat="1" applyFont="1" applyFill="1" applyBorder="1" applyAlignment="1">
      <alignment horizontal="right" vertical="center"/>
    </xf>
    <xf numFmtId="0" fontId="5" fillId="43" borderId="0" xfId="0" applyFont="1" applyFill="1" applyAlignment="1">
      <alignment horizontal="center" vertical="center"/>
    </xf>
    <xf numFmtId="0" fontId="12" fillId="43" borderId="11" xfId="0" applyFont="1" applyFill="1" applyBorder="1" applyAlignment="1">
      <alignment horizontal="center"/>
    </xf>
    <xf numFmtId="4" fontId="12" fillId="43" borderId="14" xfId="0" applyNumberFormat="1" applyFont="1" applyFill="1" applyBorder="1" applyAlignment="1">
      <alignment vertical="center"/>
    </xf>
    <xf numFmtId="3" fontId="12" fillId="43" borderId="14" xfId="0" applyNumberFormat="1" applyFont="1" applyFill="1" applyBorder="1" applyAlignment="1">
      <alignment horizontal="right"/>
    </xf>
    <xf numFmtId="0" fontId="12" fillId="43" borderId="13" xfId="0" applyFont="1" applyFill="1" applyBorder="1" applyAlignment="1">
      <alignment horizontal="center" vertical="justify"/>
    </xf>
    <xf numFmtId="43" fontId="12" fillId="43" borderId="14" xfId="42" applyFont="1" applyFill="1" applyBorder="1" applyAlignment="1">
      <alignment vertical="center"/>
    </xf>
    <xf numFmtId="180" fontId="12" fillId="43" borderId="14" xfId="42" applyNumberFormat="1" applyFont="1" applyFill="1" applyBorder="1" applyAlignment="1">
      <alignment horizontal="right"/>
    </xf>
    <xf numFmtId="0" fontId="5" fillId="43" borderId="0" xfId="0" applyFont="1" applyFill="1" applyAlignment="1">
      <alignment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43" fontId="15" fillId="0" borderId="10" xfId="42" applyFont="1" applyFill="1" applyBorder="1" applyAlignment="1">
      <alignment horizontal="center" vertical="center" wrapText="1"/>
    </xf>
    <xf numFmtId="43" fontId="17" fillId="0" borderId="10" xfId="42" applyFont="1" applyFill="1" applyBorder="1" applyAlignment="1">
      <alignment horizontal="center" vertical="center" wrapText="1"/>
    </xf>
    <xf numFmtId="43" fontId="5" fillId="43" borderId="10" xfId="42" applyFont="1" applyFill="1" applyBorder="1" applyAlignment="1">
      <alignment horizontal="right" vertical="center"/>
    </xf>
    <xf numFmtId="43" fontId="12" fillId="43" borderId="13" xfId="42" applyFont="1" applyFill="1" applyBorder="1" applyAlignment="1">
      <alignment horizontal="right"/>
    </xf>
    <xf numFmtId="40" fontId="12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center" vertical="center"/>
    </xf>
    <xf numFmtId="43" fontId="29" fillId="0" borderId="0" xfId="42" applyFont="1" applyFill="1" applyAlignment="1">
      <alignment horizontal="center"/>
    </xf>
    <xf numFmtId="0" fontId="32" fillId="0" borderId="0" xfId="0" applyFont="1" applyFill="1" applyAlignment="1">
      <alignment horizontal="left" vertical="center"/>
    </xf>
    <xf numFmtId="4" fontId="29" fillId="0" borderId="10" xfId="0" applyNumberFormat="1" applyFont="1" applyFill="1" applyBorder="1" applyAlignment="1">
      <alignment vertical="center"/>
    </xf>
    <xf numFmtId="43" fontId="29" fillId="0" borderId="0" xfId="56" applyNumberFormat="1" applyFont="1" applyFill="1" applyAlignment="1">
      <alignment horizontal="center"/>
      <protection/>
    </xf>
    <xf numFmtId="40" fontId="12" fillId="0" borderId="14" xfId="0" applyNumberFormat="1" applyFont="1" applyFill="1" applyBorder="1" applyAlignment="1">
      <alignment vertical="center"/>
    </xf>
    <xf numFmtId="0" fontId="12" fillId="43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right" vertical="center"/>
    </xf>
    <xf numFmtId="195" fontId="5" fillId="0" borderId="0" xfId="0" applyNumberFormat="1" applyFont="1" applyAlignment="1">
      <alignment/>
    </xf>
    <xf numFmtId="43" fontId="20" fillId="0" borderId="0" xfId="42" applyFont="1" applyAlignment="1">
      <alignment/>
    </xf>
    <xf numFmtId="0" fontId="12" fillId="0" borderId="0" xfId="55" applyFont="1" applyAlignment="1">
      <alignment vertical="top" wrapText="1"/>
      <protection/>
    </xf>
    <xf numFmtId="0" fontId="12" fillId="0" borderId="0" xfId="55" applyFont="1">
      <alignment/>
      <protection/>
    </xf>
    <xf numFmtId="3" fontId="12" fillId="43" borderId="10" xfId="0" applyNumberFormat="1" applyFont="1" applyFill="1" applyBorder="1" applyAlignment="1">
      <alignment vertical="center" wrapText="1"/>
    </xf>
    <xf numFmtId="43" fontId="5" fillId="43" borderId="10" xfId="42" applyFont="1" applyFill="1" applyBorder="1" applyAlignment="1">
      <alignment vertical="center"/>
    </xf>
    <xf numFmtId="43" fontId="12" fillId="43" borderId="10" xfId="42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180" fontId="17" fillId="0" borderId="10" xfId="42" applyNumberFormat="1" applyFont="1" applyFill="1" applyBorder="1" applyAlignment="1">
      <alignment horizontal="center" vertical="center" wrapText="1"/>
    </xf>
    <xf numFmtId="180" fontId="17" fillId="0" borderId="10" xfId="42" applyNumberFormat="1" applyFont="1" applyFill="1" applyBorder="1" applyAlignment="1">
      <alignment horizontal="center" vertical="center"/>
    </xf>
    <xf numFmtId="180" fontId="17" fillId="0" borderId="14" xfId="42" applyNumberFormat="1" applyFont="1" applyFill="1" applyBorder="1" applyAlignment="1">
      <alignment horizontal="center" vertical="center"/>
    </xf>
    <xf numFmtId="180" fontId="12" fillId="0" borderId="10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193" fontId="4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193" fontId="4" fillId="0" borderId="10" xfId="0" applyNumberFormat="1" applyFont="1" applyBorder="1" applyAlignment="1">
      <alignment horizontal="center" vertical="center" wrapText="1"/>
    </xf>
    <xf numFmtId="193" fontId="5" fillId="0" borderId="10" xfId="42" applyNumberFormat="1" applyFont="1" applyBorder="1" applyAlignment="1">
      <alignment horizontal="right"/>
    </xf>
    <xf numFmtId="193" fontId="4" fillId="0" borderId="12" xfId="0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center" vertical="justify"/>
    </xf>
    <xf numFmtId="43" fontId="10" fillId="0" borderId="0" xfId="42" applyFont="1" applyFill="1" applyAlignment="1">
      <alignment horizontal="left"/>
    </xf>
    <xf numFmtId="4" fontId="5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40" fontId="14" fillId="0" borderId="0" xfId="0" applyNumberFormat="1" applyFont="1" applyAlignment="1">
      <alignment horizontal="center" vertical="center" wrapText="1"/>
    </xf>
    <xf numFmtId="0" fontId="5" fillId="0" borderId="10" xfId="42" applyNumberFormat="1" applyFont="1" applyBorder="1" applyAlignment="1">
      <alignment horizontal="right"/>
    </xf>
    <xf numFmtId="43" fontId="5" fillId="0" borderId="10" xfId="42" applyNumberFormat="1" applyFont="1" applyBorder="1" applyAlignment="1">
      <alignment horizontal="right"/>
    </xf>
    <xf numFmtId="4" fontId="5" fillId="43" borderId="0" xfId="0" applyNumberFormat="1" applyFont="1" applyFill="1" applyAlignment="1">
      <alignment horizontal="center" vertical="center"/>
    </xf>
    <xf numFmtId="43" fontId="5" fillId="0" borderId="13" xfId="42" applyFont="1" applyFill="1" applyBorder="1" applyAlignment="1">
      <alignment horizontal="left" vertical="center"/>
    </xf>
    <xf numFmtId="43" fontId="12" fillId="0" borderId="11" xfId="42" applyFont="1" applyFill="1" applyBorder="1" applyAlignment="1">
      <alignment horizontal="left" vertical="center"/>
    </xf>
    <xf numFmtId="180" fontId="12" fillId="0" borderId="11" xfId="42" applyNumberFormat="1" applyFont="1" applyFill="1" applyBorder="1" applyAlignment="1">
      <alignment horizontal="right" vertical="center"/>
    </xf>
    <xf numFmtId="43" fontId="5" fillId="0" borderId="11" xfId="42" applyFont="1" applyFill="1" applyBorder="1" applyAlignment="1">
      <alignment horizontal="left" vertical="center"/>
    </xf>
    <xf numFmtId="180" fontId="5" fillId="0" borderId="11" xfId="42" applyNumberFormat="1" applyFont="1" applyFill="1" applyBorder="1" applyAlignment="1">
      <alignment horizontal="right" vertical="center"/>
    </xf>
    <xf numFmtId="0" fontId="12" fillId="43" borderId="17" xfId="0" applyFont="1" applyFill="1" applyBorder="1" applyAlignment="1">
      <alignment horizontal="left" wrapText="1"/>
    </xf>
    <xf numFmtId="43" fontId="12" fillId="43" borderId="14" xfId="42" applyFont="1" applyFill="1" applyBorder="1" applyAlignment="1">
      <alignment horizontal="center" vertical="center"/>
    </xf>
    <xf numFmtId="4" fontId="12" fillId="43" borderId="13" xfId="0" applyNumberFormat="1" applyFont="1" applyFill="1" applyBorder="1" applyAlignment="1">
      <alignment horizontal="right" vertical="center"/>
    </xf>
    <xf numFmtId="43" fontId="12" fillId="43" borderId="13" xfId="42" applyFont="1" applyFill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3" fontId="12" fillId="43" borderId="14" xfId="0" applyNumberFormat="1" applyFont="1" applyFill="1" applyBorder="1" applyAlignment="1">
      <alignment vertical="center" wrapText="1"/>
    </xf>
    <xf numFmtId="40" fontId="5" fillId="43" borderId="14" xfId="0" applyNumberFormat="1" applyFont="1" applyFill="1" applyBorder="1" applyAlignment="1">
      <alignment vertical="center"/>
    </xf>
    <xf numFmtId="0" fontId="12" fillId="43" borderId="14" xfId="0" applyFont="1" applyFill="1" applyBorder="1" applyAlignment="1">
      <alignment horizontal="center" vertical="center"/>
    </xf>
    <xf numFmtId="4" fontId="5" fillId="43" borderId="10" xfId="0" applyNumberFormat="1" applyFont="1" applyFill="1" applyBorder="1" applyAlignment="1">
      <alignment vertical="center"/>
    </xf>
    <xf numFmtId="43" fontId="5" fillId="43" borderId="14" xfId="42" applyFont="1" applyFill="1" applyBorder="1" applyAlignment="1">
      <alignment vertical="center"/>
    </xf>
    <xf numFmtId="40" fontId="5" fillId="43" borderId="10" xfId="42" applyNumberFormat="1" applyFont="1" applyFill="1" applyBorder="1" applyAlignment="1">
      <alignment vertical="center"/>
    </xf>
    <xf numFmtId="4" fontId="4" fillId="43" borderId="0" xfId="0" applyNumberFormat="1" applyFont="1" applyFill="1" applyAlignment="1">
      <alignment horizontal="center" vertical="center" wrapText="1"/>
    </xf>
    <xf numFmtId="40" fontId="12" fillId="43" borderId="14" xfId="42" applyNumberFormat="1" applyFont="1" applyFill="1" applyBorder="1" applyAlignment="1">
      <alignment horizontal="center" vertical="center"/>
    </xf>
    <xf numFmtId="180" fontId="12" fillId="0" borderId="10" xfId="42" applyNumberFormat="1" applyFont="1" applyFill="1" applyBorder="1" applyAlignment="1">
      <alignment horizontal="center" vertical="center" wrapText="1"/>
    </xf>
    <xf numFmtId="180" fontId="12" fillId="0" borderId="14" xfId="42" applyNumberFormat="1" applyFont="1" applyFill="1" applyBorder="1" applyAlignment="1">
      <alignment horizontal="center" vertical="center"/>
    </xf>
    <xf numFmtId="180" fontId="12" fillId="43" borderId="14" xfId="42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43" borderId="14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43" fontId="12" fillId="43" borderId="14" xfId="42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43" fontId="15" fillId="43" borderId="14" xfId="42" applyFont="1" applyFill="1" applyBorder="1" applyAlignment="1">
      <alignment horizontal="right" vertical="center"/>
    </xf>
    <xf numFmtId="40" fontId="15" fillId="43" borderId="10" xfId="0" applyNumberFormat="1" applyFont="1" applyFill="1" applyBorder="1" applyAlignment="1">
      <alignment horizontal="right" vertical="center"/>
    </xf>
    <xf numFmtId="180" fontId="17" fillId="43" borderId="14" xfId="42" applyNumberFormat="1" applyFont="1" applyFill="1" applyBorder="1" applyAlignment="1">
      <alignment horizontal="center" vertical="center"/>
    </xf>
    <xf numFmtId="40" fontId="17" fillId="43" borderId="14" xfId="42" applyNumberFormat="1" applyFont="1" applyFill="1" applyBorder="1" applyAlignment="1">
      <alignment horizontal="center" vertical="center"/>
    </xf>
    <xf numFmtId="43" fontId="15" fillId="43" borderId="10" xfId="42" applyFont="1" applyFill="1" applyBorder="1" applyAlignment="1">
      <alignment horizontal="right" vertical="center"/>
    </xf>
    <xf numFmtId="0" fontId="15" fillId="43" borderId="0" xfId="0" applyFont="1" applyFill="1" applyAlignment="1">
      <alignment vertical="center"/>
    </xf>
    <xf numFmtId="40" fontId="14" fillId="43" borderId="0" xfId="0" applyNumberFormat="1" applyFont="1" applyFill="1" applyAlignment="1">
      <alignment horizontal="center"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43" fontId="5" fillId="0" borderId="10" xfId="42" applyFont="1" applyBorder="1" applyAlignment="1">
      <alignment horizontal="right"/>
    </xf>
    <xf numFmtId="0" fontId="12" fillId="0" borderId="14" xfId="42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left" vertical="top" wrapText="1"/>
    </xf>
    <xf numFmtId="0" fontId="8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8" fillId="0" borderId="0" xfId="0" applyFont="1" applyAlignment="1">
      <alignment/>
    </xf>
    <xf numFmtId="0" fontId="12" fillId="0" borderId="0" xfId="0" applyFont="1" applyAlignment="1">
      <alignment wrapText="1"/>
    </xf>
    <xf numFmtId="193" fontId="11" fillId="0" borderId="10" xfId="42" applyNumberFormat="1" applyFont="1" applyFill="1" applyBorder="1" applyAlignment="1">
      <alignment horizontal="center" vertical="center" wrapText="1"/>
    </xf>
    <xf numFmtId="193" fontId="4" fillId="0" borderId="10" xfId="42" applyNumberFormat="1" applyFont="1" applyFill="1" applyBorder="1" applyAlignment="1">
      <alignment horizontal="center" vertical="center" wrapText="1"/>
    </xf>
    <xf numFmtId="193" fontId="12" fillId="0" borderId="10" xfId="42" applyNumberFormat="1" applyFont="1" applyFill="1" applyBorder="1" applyAlignment="1">
      <alignment horizontal="center" vertical="center"/>
    </xf>
    <xf numFmtId="193" fontId="5" fillId="0" borderId="10" xfId="42" applyNumberFormat="1" applyFont="1" applyFill="1" applyBorder="1" applyAlignment="1">
      <alignment horizontal="center" vertical="center"/>
    </xf>
    <xf numFmtId="193" fontId="12" fillId="0" borderId="10" xfId="42" applyNumberFormat="1" applyFont="1" applyFill="1" applyBorder="1" applyAlignment="1">
      <alignment horizontal="right" vertical="center"/>
    </xf>
    <xf numFmtId="193" fontId="12" fillId="0" borderId="12" xfId="42" applyNumberFormat="1" applyFont="1" applyFill="1" applyBorder="1" applyAlignment="1">
      <alignment horizontal="right" vertical="center"/>
    </xf>
    <xf numFmtId="193" fontId="5" fillId="0" borderId="12" xfId="42" applyNumberFormat="1" applyFont="1" applyFill="1" applyBorder="1" applyAlignment="1">
      <alignment horizontal="right" vertical="center"/>
    </xf>
    <xf numFmtId="193" fontId="5" fillId="0" borderId="0" xfId="42" applyNumberFormat="1" applyFont="1" applyFill="1" applyAlignment="1">
      <alignment vertical="center"/>
    </xf>
    <xf numFmtId="193" fontId="5" fillId="0" borderId="0" xfId="42" applyNumberFormat="1" applyFont="1" applyFill="1" applyAlignment="1">
      <alignment horizontal="center" vertical="center"/>
    </xf>
    <xf numFmtId="193" fontId="5" fillId="0" borderId="0" xfId="0" applyNumberFormat="1" applyFont="1" applyFill="1" applyAlignment="1">
      <alignment vertical="center"/>
    </xf>
    <xf numFmtId="193" fontId="11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193" fontId="5" fillId="0" borderId="0" xfId="0" applyNumberFormat="1" applyFont="1" applyFill="1" applyAlignment="1">
      <alignment/>
    </xf>
    <xf numFmtId="193" fontId="5" fillId="0" borderId="10" xfId="0" applyNumberFormat="1" applyFont="1" applyFill="1" applyBorder="1" applyAlignment="1">
      <alignment vertical="center"/>
    </xf>
    <xf numFmtId="193" fontId="5" fillId="0" borderId="10" xfId="42" applyNumberFormat="1" applyFont="1" applyFill="1" applyBorder="1" applyAlignment="1">
      <alignment vertical="center"/>
    </xf>
    <xf numFmtId="193" fontId="14" fillId="0" borderId="0" xfId="0" applyNumberFormat="1" applyFont="1" applyFill="1" applyAlignment="1">
      <alignment vertical="center"/>
    </xf>
    <xf numFmtId="193" fontId="15" fillId="0" borderId="12" xfId="0" applyNumberFormat="1" applyFont="1" applyFill="1" applyBorder="1" applyAlignment="1">
      <alignment vertical="center"/>
    </xf>
    <xf numFmtId="193" fontId="15" fillId="0" borderId="0" xfId="0" applyNumberFormat="1" applyFont="1" applyFill="1" applyAlignment="1">
      <alignment vertical="center"/>
    </xf>
    <xf numFmtId="193" fontId="20" fillId="0" borderId="0" xfId="56" applyNumberFormat="1" applyFont="1" applyFill="1">
      <alignment/>
      <protection/>
    </xf>
    <xf numFmtId="193" fontId="20" fillId="0" borderId="0" xfId="0" applyNumberFormat="1" applyFont="1" applyFill="1" applyAlignment="1">
      <alignment horizontal="left" vertical="center"/>
    </xf>
    <xf numFmtId="193" fontId="20" fillId="0" borderId="10" xfId="56" applyNumberFormat="1" applyFont="1" applyFill="1" applyBorder="1">
      <alignment/>
      <protection/>
    </xf>
    <xf numFmtId="193" fontId="20" fillId="0" borderId="10" xfId="42" applyNumberFormat="1" applyFont="1" applyFill="1" applyBorder="1" applyAlignment="1">
      <alignment/>
    </xf>
    <xf numFmtId="0" fontId="39" fillId="0" borderId="17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56" applyFont="1" applyFill="1" applyBorder="1" applyAlignment="1">
      <alignment horizontal="center" vertical="center"/>
      <protection/>
    </xf>
    <xf numFmtId="0" fontId="10" fillId="0" borderId="11" xfId="56" applyFont="1" applyFill="1" applyBorder="1" applyAlignment="1">
      <alignment horizontal="center" vertical="center"/>
      <protection/>
    </xf>
    <xf numFmtId="0" fontId="10" fillId="0" borderId="20" xfId="56" applyFont="1" applyFill="1" applyBorder="1" applyAlignment="1">
      <alignment horizontal="center" vertical="center"/>
      <protection/>
    </xf>
    <xf numFmtId="0" fontId="10" fillId="0" borderId="17" xfId="56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193" fontId="18" fillId="0" borderId="24" xfId="42" applyNumberFormat="1" applyFont="1" applyFill="1" applyBorder="1" applyAlignment="1">
      <alignment horizontal="center" vertical="center"/>
    </xf>
    <xf numFmtId="193" fontId="24" fillId="0" borderId="24" xfId="42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93" fontId="4" fillId="0" borderId="11" xfId="42" applyNumberFormat="1" applyFont="1" applyFill="1" applyBorder="1" applyAlignment="1">
      <alignment horizontal="center" vertical="center"/>
    </xf>
    <xf numFmtId="193" fontId="4" fillId="0" borderId="20" xfId="42" applyNumberFormat="1" applyFont="1" applyFill="1" applyBorder="1" applyAlignment="1">
      <alignment horizontal="center" vertical="center"/>
    </xf>
    <xf numFmtId="193" fontId="4" fillId="0" borderId="17" xfId="42" applyNumberFormat="1" applyFont="1" applyFill="1" applyBorder="1" applyAlignment="1">
      <alignment horizontal="center" vertical="center"/>
    </xf>
    <xf numFmtId="0" fontId="12" fillId="0" borderId="0" xfId="55" applyFont="1" applyAlignment="1">
      <alignment horizontal="left" vertical="top" wrapText="1"/>
      <protection/>
    </xf>
    <xf numFmtId="0" fontId="83" fillId="0" borderId="0" xfId="55" applyFont="1" applyAlignment="1">
      <alignment horizontal="left" vertical="top" wrapText="1"/>
      <protection/>
    </xf>
    <xf numFmtId="0" fontId="38" fillId="0" borderId="0" xfId="55" applyFont="1" applyAlignment="1">
      <alignment horizontal="left" vertical="top" wrapText="1"/>
      <protection/>
    </xf>
    <xf numFmtId="0" fontId="5" fillId="0" borderId="0" xfId="55" applyFont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83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0" fillId="0" borderId="14" xfId="56" applyFont="1" applyFill="1" applyBorder="1" applyAlignment="1">
      <alignment horizontal="center" vertical="center"/>
      <protection/>
    </xf>
    <xf numFmtId="0" fontId="20" fillId="0" borderId="16" xfId="56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0" xfId="56" applyFont="1" applyFill="1" applyAlignment="1">
      <alignment horizontal="center"/>
      <protection/>
    </xf>
    <xf numFmtId="193" fontId="21" fillId="0" borderId="10" xfId="0" applyNumberFormat="1" applyFont="1" applyFill="1" applyBorder="1" applyAlignment="1">
      <alignment horizontal="center" vertical="center" wrapText="1"/>
    </xf>
    <xf numFmtId="193" fontId="20" fillId="0" borderId="10" xfId="0" applyNumberFormat="1" applyFont="1" applyFill="1" applyBorder="1" applyAlignment="1">
      <alignment/>
    </xf>
    <xf numFmtId="193" fontId="2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ตาราง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54" zoomScalePageLayoutView="0" workbookViewId="0" topLeftCell="A1">
      <selection activeCell="C35" sqref="C35"/>
    </sheetView>
  </sheetViews>
  <sheetFormatPr defaultColWidth="9.140625" defaultRowHeight="19.5" customHeight="1"/>
  <cols>
    <col min="1" max="1" width="19.28125" style="2" customWidth="1"/>
    <col min="2" max="2" width="4.28125" style="2" customWidth="1"/>
    <col min="3" max="3" width="34.8515625" style="2" customWidth="1"/>
    <col min="4" max="4" width="24.421875" style="2" customWidth="1"/>
    <col min="5" max="5" width="27.140625" style="2" customWidth="1"/>
    <col min="6" max="6" width="26.28125" style="2" customWidth="1"/>
    <col min="7" max="7" width="27.421875" style="2" customWidth="1"/>
    <col min="8" max="8" width="9.140625" style="2" customWidth="1"/>
    <col min="9" max="9" width="16.140625" style="2" bestFit="1" customWidth="1"/>
    <col min="10" max="10" width="18.57421875" style="2" bestFit="1" customWidth="1"/>
    <col min="11" max="11" width="15.00390625" style="2" bestFit="1" customWidth="1"/>
    <col min="12" max="12" width="16.140625" style="2" bestFit="1" customWidth="1"/>
    <col min="13" max="16384" width="9.140625" style="2" customWidth="1"/>
  </cols>
  <sheetData>
    <row r="1" ht="19.5" customHeight="1">
      <c r="G1" s="131" t="s">
        <v>101</v>
      </c>
    </row>
    <row r="2" spans="1:7" ht="19.5" customHeight="1">
      <c r="A2" s="686" t="s">
        <v>442</v>
      </c>
      <c r="B2" s="686"/>
      <c r="C2" s="686"/>
      <c r="D2" s="686"/>
      <c r="E2" s="686"/>
      <c r="F2" s="1"/>
      <c r="G2" s="1"/>
    </row>
    <row r="3" ht="19.5" customHeight="1">
      <c r="G3" s="1" t="s">
        <v>17</v>
      </c>
    </row>
    <row r="4" spans="1:7" s="3" customFormat="1" ht="19.5" customHeight="1">
      <c r="A4" s="691" t="s">
        <v>21</v>
      </c>
      <c r="B4" s="692"/>
      <c r="C4" s="693"/>
      <c r="D4" s="100" t="s">
        <v>0</v>
      </c>
      <c r="E4" s="100" t="s">
        <v>1</v>
      </c>
      <c r="F4" s="100" t="s">
        <v>2</v>
      </c>
      <c r="G4" s="100" t="s">
        <v>18</v>
      </c>
    </row>
    <row r="5" spans="1:16" ht="19.5" customHeight="1">
      <c r="A5" s="687" t="s">
        <v>22</v>
      </c>
      <c r="B5" s="688"/>
      <c r="C5" s="689"/>
      <c r="D5" s="112">
        <v>281380584.98</v>
      </c>
      <c r="E5" s="181">
        <v>0</v>
      </c>
      <c r="F5" s="181">
        <v>23061825.909999996</v>
      </c>
      <c r="G5" s="112">
        <f aca="true" t="shared" si="0" ref="G5:G10">SUM(D5:F5)</f>
        <v>304442410.89</v>
      </c>
      <c r="I5" s="136"/>
      <c r="J5" s="136"/>
      <c r="K5" s="136"/>
      <c r="L5" s="136"/>
      <c r="M5" s="171"/>
      <c r="N5" s="171"/>
      <c r="O5" s="171"/>
      <c r="P5" s="171"/>
    </row>
    <row r="6" spans="1:16" ht="19.5" customHeight="1">
      <c r="A6" s="687" t="s">
        <v>23</v>
      </c>
      <c r="B6" s="688"/>
      <c r="C6" s="689"/>
      <c r="D6" s="112">
        <v>26779369.879999995</v>
      </c>
      <c r="E6" s="181">
        <v>25000</v>
      </c>
      <c r="F6" s="181"/>
      <c r="G6" s="112">
        <f t="shared" si="0"/>
        <v>26804369.879999995</v>
      </c>
      <c r="I6" s="136"/>
      <c r="J6" s="136"/>
      <c r="K6" s="136"/>
      <c r="L6" s="136"/>
      <c r="M6" s="171"/>
      <c r="N6" s="171"/>
      <c r="O6" s="171"/>
      <c r="P6" s="171"/>
    </row>
    <row r="7" spans="1:16" ht="19.5" customHeight="1">
      <c r="A7" s="687" t="s">
        <v>24</v>
      </c>
      <c r="B7" s="688"/>
      <c r="C7" s="689"/>
      <c r="D7" s="112">
        <v>52958649.000000015</v>
      </c>
      <c r="E7" s="113"/>
      <c r="F7" s="113"/>
      <c r="G7" s="112">
        <f t="shared" si="0"/>
        <v>52958649.000000015</v>
      </c>
      <c r="I7" s="136"/>
      <c r="J7" s="136"/>
      <c r="K7" s="136"/>
      <c r="L7" s="136"/>
      <c r="M7" s="171"/>
      <c r="N7" s="171"/>
      <c r="O7" s="171"/>
      <c r="P7" s="171"/>
    </row>
    <row r="8" spans="1:16" ht="19.5" customHeight="1">
      <c r="A8" s="687" t="s">
        <v>25</v>
      </c>
      <c r="B8" s="688"/>
      <c r="C8" s="689"/>
      <c r="D8" s="112">
        <v>326004492.98999995</v>
      </c>
      <c r="E8" s="181">
        <v>6033440.25</v>
      </c>
      <c r="F8" s="181">
        <v>5992064.999999999</v>
      </c>
      <c r="G8" s="112">
        <f t="shared" si="0"/>
        <v>338029998.23999995</v>
      </c>
      <c r="I8" s="136"/>
      <c r="J8" s="136"/>
      <c r="K8" s="136"/>
      <c r="L8" s="136"/>
      <c r="M8" s="171"/>
      <c r="N8" s="171"/>
      <c r="O8" s="171"/>
      <c r="P8" s="171"/>
    </row>
    <row r="9" spans="1:16" ht="19.5" customHeight="1">
      <c r="A9" s="687" t="s">
        <v>26</v>
      </c>
      <c r="B9" s="688"/>
      <c r="C9" s="689"/>
      <c r="D9" s="112">
        <v>19285398.81</v>
      </c>
      <c r="E9" s="181">
        <v>7795217.990000001</v>
      </c>
      <c r="F9" s="181">
        <v>0</v>
      </c>
      <c r="G9" s="112">
        <f t="shared" si="0"/>
        <v>27080616.8</v>
      </c>
      <c r="I9" s="136"/>
      <c r="J9" s="136"/>
      <c r="K9" s="136"/>
      <c r="L9" s="136"/>
      <c r="M9" s="171"/>
      <c r="N9" s="171"/>
      <c r="O9" s="171"/>
      <c r="P9" s="171"/>
    </row>
    <row r="10" spans="1:16" ht="19.5" customHeight="1">
      <c r="A10" s="687" t="s">
        <v>366</v>
      </c>
      <c r="B10" s="688"/>
      <c r="C10" s="689"/>
      <c r="D10" s="212">
        <v>0</v>
      </c>
      <c r="E10" s="181">
        <f>8937392.78+148</f>
        <v>8937540.78</v>
      </c>
      <c r="F10" s="212"/>
      <c r="G10" s="112">
        <f t="shared" si="0"/>
        <v>8937540.78</v>
      </c>
      <c r="I10" s="136"/>
      <c r="J10" s="136"/>
      <c r="K10" s="136"/>
      <c r="L10" s="136"/>
      <c r="M10" s="171"/>
      <c r="N10" s="171"/>
      <c r="O10" s="171"/>
      <c r="P10" s="171"/>
    </row>
    <row r="11" spans="1:10" ht="24.75" thickBot="1">
      <c r="A11" s="694" t="s">
        <v>27</v>
      </c>
      <c r="B11" s="695"/>
      <c r="C11" s="696"/>
      <c r="D11" s="114">
        <f>SUM(D5:D10)</f>
        <v>706408495.6599998</v>
      </c>
      <c r="E11" s="114">
        <f>SUM(E5:E10)</f>
        <v>22791199.020000003</v>
      </c>
      <c r="F11" s="114">
        <f>SUM(F5:F10)</f>
        <v>29053890.909999996</v>
      </c>
      <c r="G11" s="128">
        <f>SUM(G5:G10)</f>
        <v>758253585.5899999</v>
      </c>
      <c r="J11" s="171"/>
    </row>
    <row r="12" spans="4:7" ht="19.5" customHeight="1" thickTop="1">
      <c r="D12" s="136"/>
      <c r="E12" s="136"/>
      <c r="F12" s="136"/>
      <c r="G12" s="136"/>
    </row>
    <row r="13" spans="1:7" ht="19.5" customHeight="1">
      <c r="A13" s="690" t="s">
        <v>28</v>
      </c>
      <c r="B13" s="690"/>
      <c r="C13" s="690"/>
      <c r="D13" s="312"/>
      <c r="E13" s="312"/>
      <c r="F13" s="312"/>
      <c r="G13" s="312"/>
    </row>
    <row r="14" spans="2:10" ht="19.5" customHeight="1">
      <c r="B14" s="2" t="s">
        <v>29</v>
      </c>
      <c r="G14" s="4">
        <f>+G16+G11</f>
        <v>881305171.1399999</v>
      </c>
      <c r="J14" s="171"/>
    </row>
    <row r="15" spans="2:10" ht="19.5" customHeight="1">
      <c r="B15" s="5" t="s">
        <v>30</v>
      </c>
      <c r="C15" s="2" t="s">
        <v>79</v>
      </c>
      <c r="F15" s="4">
        <v>50682796.39</v>
      </c>
      <c r="J15" s="171"/>
    </row>
    <row r="16" spans="3:10" ht="19.5" customHeight="1">
      <c r="C16" s="2" t="s">
        <v>80</v>
      </c>
      <c r="F16" s="6">
        <v>72368789.16</v>
      </c>
      <c r="G16" s="6">
        <f>SUM(F15:F16)</f>
        <v>123051585.55</v>
      </c>
      <c r="J16" s="171"/>
    </row>
    <row r="17" spans="2:7" ht="19.5" customHeight="1">
      <c r="B17" s="2" t="s">
        <v>27</v>
      </c>
      <c r="E17" s="171"/>
      <c r="G17" s="7">
        <f>SUM(G11)</f>
        <v>758253585.5899999</v>
      </c>
    </row>
    <row r="19" ht="19.5" customHeight="1">
      <c r="G19" s="136"/>
    </row>
    <row r="20" ht="19.5" customHeight="1">
      <c r="G20" s="312"/>
    </row>
    <row r="21" spans="4:7" ht="19.5" customHeight="1">
      <c r="D21" s="158"/>
      <c r="E21" s="158"/>
      <c r="F21" s="158"/>
      <c r="G21" s="159"/>
    </row>
    <row r="29" spans="4:7" ht="19.5" customHeight="1">
      <c r="D29" s="136"/>
      <c r="F29" s="136"/>
      <c r="G29" s="136"/>
    </row>
    <row r="32" spans="4:7" ht="19.5" customHeight="1">
      <c r="D32" s="171"/>
      <c r="E32" s="171"/>
      <c r="F32" s="171"/>
      <c r="G32" s="171"/>
    </row>
    <row r="33" spans="4:7" ht="19.5" customHeight="1">
      <c r="D33" s="171"/>
      <c r="E33" s="171"/>
      <c r="F33" s="171"/>
      <c r="G33" s="171"/>
    </row>
    <row r="34" spans="4:7" ht="19.5" customHeight="1">
      <c r="D34" s="171"/>
      <c r="E34" s="171"/>
      <c r="F34" s="171"/>
      <c r="G34" s="171"/>
    </row>
    <row r="35" spans="4:7" ht="19.5" customHeight="1">
      <c r="D35" s="171"/>
      <c r="E35" s="171"/>
      <c r="F35" s="171"/>
      <c r="G35" s="171"/>
    </row>
    <row r="36" spans="4:7" ht="19.5" customHeight="1">
      <c r="D36" s="171"/>
      <c r="E36" s="171"/>
      <c r="F36" s="171"/>
      <c r="G36" s="171"/>
    </row>
    <row r="37" spans="4:7" ht="19.5" customHeight="1">
      <c r="D37" s="171"/>
      <c r="E37" s="171"/>
      <c r="F37" s="171"/>
      <c r="G37" s="171"/>
    </row>
    <row r="38" spans="4:7" ht="19.5" customHeight="1">
      <c r="D38" s="171"/>
      <c r="E38" s="171"/>
      <c r="F38" s="171"/>
      <c r="G38" s="171"/>
    </row>
  </sheetData>
  <sheetProtection/>
  <mergeCells count="10">
    <mergeCell ref="A2:E2"/>
    <mergeCell ref="A5:C5"/>
    <mergeCell ref="A6:C6"/>
    <mergeCell ref="A7:C7"/>
    <mergeCell ref="A13:C13"/>
    <mergeCell ref="A4:C4"/>
    <mergeCell ref="A11:C11"/>
    <mergeCell ref="A8:C8"/>
    <mergeCell ref="A9:C9"/>
    <mergeCell ref="A10:C10"/>
  </mergeCells>
  <printOptions horizontalCentered="1"/>
  <pageMargins left="0.1968503937007874" right="0.11811023622047245" top="0.984251968503937" bottom="0.984251968503937" header="0.5118110236220472" footer="0.5118110236220472"/>
  <pageSetup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31" zoomScalePageLayoutView="0" workbookViewId="0" topLeftCell="A1">
      <selection activeCell="A1" sqref="A1"/>
    </sheetView>
  </sheetViews>
  <sheetFormatPr defaultColWidth="9.140625" defaultRowHeight="12.75"/>
  <cols>
    <col min="1" max="1" width="45.00390625" style="40" customWidth="1"/>
    <col min="2" max="2" width="21.421875" style="23" customWidth="1"/>
    <col min="3" max="3" width="22.00390625" style="23" customWidth="1"/>
    <col min="4" max="4" width="20.28125" style="23" customWidth="1"/>
    <col min="5" max="5" width="19.421875" style="23" customWidth="1"/>
    <col min="6" max="6" width="19.57421875" style="23" customWidth="1"/>
    <col min="7" max="7" width="10.00390625" style="20" customWidth="1"/>
    <col min="8" max="8" width="9.7109375" style="20" bestFit="1" customWidth="1"/>
    <col min="9" max="9" width="17.7109375" style="23" customWidth="1"/>
    <col min="10" max="16384" width="9.140625" style="23" customWidth="1"/>
  </cols>
  <sheetData>
    <row r="1" ht="24">
      <c r="A1" s="13" t="s">
        <v>186</v>
      </c>
    </row>
    <row r="2" spans="1:9" ht="24">
      <c r="A2" s="14"/>
      <c r="I2" s="117" t="s">
        <v>17</v>
      </c>
    </row>
    <row r="3" spans="1:9" s="18" customFormat="1" ht="24">
      <c r="A3" s="30" t="s">
        <v>19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11</v>
      </c>
      <c r="G3" s="16" t="s">
        <v>9</v>
      </c>
      <c r="H3" s="16" t="s">
        <v>10</v>
      </c>
      <c r="I3" s="17" t="s">
        <v>12</v>
      </c>
    </row>
    <row r="4" spans="1:9" ht="48">
      <c r="A4" s="31" t="s">
        <v>91</v>
      </c>
      <c r="B4" s="32">
        <v>301272359.91999996</v>
      </c>
      <c r="C4" s="255">
        <v>31055484.509999998</v>
      </c>
      <c r="D4" s="32">
        <v>15041881.59</v>
      </c>
      <c r="E4" s="32">
        <v>7252921.699999997</v>
      </c>
      <c r="F4" s="32">
        <f>SUM(B4:E4)</f>
        <v>354622647.7199999</v>
      </c>
      <c r="G4" s="19">
        <v>98</v>
      </c>
      <c r="H4" s="33" t="s">
        <v>4</v>
      </c>
      <c r="I4" s="32">
        <f aca="true" t="shared" si="0" ref="I4:I11">F4/G4</f>
        <v>3618598.446122448</v>
      </c>
    </row>
    <row r="5" spans="1:9" ht="24">
      <c r="A5" s="31" t="s">
        <v>92</v>
      </c>
      <c r="B5" s="32">
        <v>285689967.39</v>
      </c>
      <c r="C5" s="255">
        <v>133200.93999999994</v>
      </c>
      <c r="D5" s="32">
        <v>989857.38</v>
      </c>
      <c r="E5" s="32">
        <v>4470501.95</v>
      </c>
      <c r="F5" s="32">
        <f aca="true" t="shared" si="1" ref="F5:F11">SUM(B5:E5)</f>
        <v>291283527.65999997</v>
      </c>
      <c r="G5" s="19">
        <v>118</v>
      </c>
      <c r="H5" s="33" t="s">
        <v>4</v>
      </c>
      <c r="I5" s="32">
        <f t="shared" si="0"/>
        <v>2468504.471694915</v>
      </c>
    </row>
    <row r="6" spans="1:9" ht="48">
      <c r="A6" s="31" t="s">
        <v>93</v>
      </c>
      <c r="B6" s="32">
        <v>6978663.71</v>
      </c>
      <c r="C6" s="255">
        <v>38108.35</v>
      </c>
      <c r="D6" s="32">
        <v>370291.62</v>
      </c>
      <c r="E6" s="32">
        <v>59768.98</v>
      </c>
      <c r="F6" s="32">
        <f t="shared" si="1"/>
        <v>7446832.66</v>
      </c>
      <c r="G6" s="19">
        <v>40</v>
      </c>
      <c r="H6" s="33" t="s">
        <v>4</v>
      </c>
      <c r="I6" s="32">
        <f t="shared" si="0"/>
        <v>186170.81650000002</v>
      </c>
    </row>
    <row r="7" spans="1:9" ht="24">
      <c r="A7" s="31" t="s">
        <v>94</v>
      </c>
      <c r="B7" s="32">
        <v>35164813.98</v>
      </c>
      <c r="C7" s="255">
        <v>4124873.5099999993</v>
      </c>
      <c r="D7" s="32">
        <v>1889736.45</v>
      </c>
      <c r="E7" s="32">
        <v>2057301.82</v>
      </c>
      <c r="F7" s="32">
        <f t="shared" si="1"/>
        <v>43236725.76</v>
      </c>
      <c r="G7" s="19">
        <v>2255</v>
      </c>
      <c r="H7" s="33" t="s">
        <v>6</v>
      </c>
      <c r="I7" s="32">
        <f t="shared" si="0"/>
        <v>19173.714305986694</v>
      </c>
    </row>
    <row r="8" spans="1:9" ht="24">
      <c r="A8" s="31" t="s">
        <v>95</v>
      </c>
      <c r="B8" s="32">
        <v>24978613.2</v>
      </c>
      <c r="C8" s="255">
        <v>27946.12</v>
      </c>
      <c r="D8" s="32">
        <v>247126.37</v>
      </c>
      <c r="E8" s="32">
        <v>87134.6</v>
      </c>
      <c r="F8" s="32">
        <f t="shared" si="1"/>
        <v>25340820.290000003</v>
      </c>
      <c r="G8" s="19">
        <v>270</v>
      </c>
      <c r="H8" s="33" t="s">
        <v>4</v>
      </c>
      <c r="I8" s="32">
        <f t="shared" si="0"/>
        <v>93854.88996296297</v>
      </c>
    </row>
    <row r="9" spans="1:9" ht="24">
      <c r="A9" s="177" t="s">
        <v>137</v>
      </c>
      <c r="B9" s="178">
        <v>41615553.71</v>
      </c>
      <c r="C9" s="256">
        <v>106706.37999999989</v>
      </c>
      <c r="D9" s="178">
        <v>1074495.3599999999</v>
      </c>
      <c r="E9" s="178">
        <v>13517920.95</v>
      </c>
      <c r="F9" s="32">
        <f t="shared" si="1"/>
        <v>56314676.400000006</v>
      </c>
      <c r="G9" s="176">
        <v>1</v>
      </c>
      <c r="H9" s="179" t="s">
        <v>86</v>
      </c>
      <c r="I9" s="178">
        <f t="shared" si="0"/>
        <v>56314676.400000006</v>
      </c>
    </row>
    <row r="10" spans="1:9" ht="48">
      <c r="A10" s="177" t="s">
        <v>287</v>
      </c>
      <c r="B10" s="178">
        <v>9397664.27</v>
      </c>
      <c r="C10" s="256">
        <v>4079071.19</v>
      </c>
      <c r="D10" s="178">
        <v>211160.29</v>
      </c>
      <c r="E10" s="178">
        <v>46319.99</v>
      </c>
      <c r="F10" s="32">
        <f t="shared" si="1"/>
        <v>13734215.739999998</v>
      </c>
      <c r="G10" s="176">
        <v>97</v>
      </c>
      <c r="H10" s="33" t="s">
        <v>4</v>
      </c>
      <c r="I10" s="178">
        <f t="shared" si="0"/>
        <v>141589.8529896907</v>
      </c>
    </row>
    <row r="11" spans="1:9" ht="72">
      <c r="A11" s="177" t="s">
        <v>298</v>
      </c>
      <c r="B11" s="178">
        <v>24978613.19</v>
      </c>
      <c r="C11" s="256">
        <v>27946.13</v>
      </c>
      <c r="D11" s="178">
        <v>247126.38</v>
      </c>
      <c r="E11" s="178">
        <v>87134.6</v>
      </c>
      <c r="F11" s="32">
        <f t="shared" si="1"/>
        <v>25340820.3</v>
      </c>
      <c r="G11" s="176">
        <v>1027</v>
      </c>
      <c r="H11" s="179" t="s">
        <v>6</v>
      </c>
      <c r="I11" s="178">
        <f t="shared" si="0"/>
        <v>24674.60593962999</v>
      </c>
    </row>
    <row r="12" spans="1:9" ht="24.75" thickBot="1">
      <c r="A12" s="34" t="s">
        <v>27</v>
      </c>
      <c r="B12" s="35">
        <f>SUM(B4:B11)</f>
        <v>730076249.3700001</v>
      </c>
      <c r="C12" s="257">
        <f>SUM(C4:C11)</f>
        <v>39593337.13</v>
      </c>
      <c r="D12" s="35">
        <f>SUM(D4:D11)</f>
        <v>20071675.439999998</v>
      </c>
      <c r="E12" s="35">
        <f>SUM(E4:E11)</f>
        <v>27579004.59</v>
      </c>
      <c r="F12" s="35">
        <f>SUM(F4:F11)</f>
        <v>817320266.5299997</v>
      </c>
      <c r="G12" s="36"/>
      <c r="H12" s="36"/>
      <c r="I12" s="36"/>
    </row>
    <row r="13" spans="1:6" ht="24.75" thickTop="1">
      <c r="A13" s="37"/>
      <c r="B13" s="38"/>
      <c r="C13" s="39"/>
      <c r="D13" s="38"/>
      <c r="E13" s="38"/>
      <c r="F13" s="38"/>
    </row>
    <row r="14" spans="1:6" ht="24">
      <c r="A14" s="26"/>
      <c r="B14" s="137"/>
      <c r="C14" s="139"/>
      <c r="D14" s="137"/>
      <c r="E14" s="137"/>
      <c r="F14" s="38"/>
    </row>
    <row r="15" spans="1:6" ht="24">
      <c r="A15" s="26"/>
      <c r="B15" s="28"/>
      <c r="C15" s="28"/>
      <c r="D15" s="28"/>
      <c r="E15" s="28"/>
      <c r="F15" s="28"/>
    </row>
    <row r="16" spans="1:6" ht="24">
      <c r="A16" s="26"/>
      <c r="B16" s="28"/>
      <c r="C16" s="28"/>
      <c r="D16" s="28"/>
      <c r="E16" s="28"/>
      <c r="F16" s="38"/>
    </row>
    <row r="17" spans="1:6" ht="24">
      <c r="A17" s="26"/>
      <c r="B17" s="28"/>
      <c r="C17" s="28"/>
      <c r="D17" s="28"/>
      <c r="E17" s="28"/>
      <c r="F17" s="38"/>
    </row>
    <row r="18" spans="1:6" ht="24">
      <c r="A18" s="26"/>
      <c r="B18" s="28"/>
      <c r="C18" s="54"/>
      <c r="D18" s="28"/>
      <c r="E18" s="28"/>
      <c r="F18" s="38"/>
    </row>
    <row r="19" spans="1:6" ht="24">
      <c r="A19" s="26"/>
      <c r="B19" s="28"/>
      <c r="C19" s="54"/>
      <c r="D19" s="28"/>
      <c r="E19" s="28"/>
      <c r="F19" s="38"/>
    </row>
    <row r="20" spans="1:6" ht="24">
      <c r="A20" s="26"/>
      <c r="B20" s="28"/>
      <c r="C20" s="54"/>
      <c r="D20" s="28"/>
      <c r="E20" s="28"/>
      <c r="F20" s="38"/>
    </row>
    <row r="21" spans="1:6" ht="24">
      <c r="A21" s="26"/>
      <c r="B21" s="137"/>
      <c r="C21" s="137"/>
      <c r="D21" s="137"/>
      <c r="E21" s="137"/>
      <c r="F21" s="145"/>
    </row>
    <row r="22" spans="1:6" ht="24">
      <c r="A22" s="26"/>
      <c r="B22" s="137"/>
      <c r="C22" s="139"/>
      <c r="D22" s="137"/>
      <c r="E22" s="137"/>
      <c r="F22" s="145"/>
    </row>
    <row r="23" spans="1:6" ht="24">
      <c r="A23" s="55"/>
      <c r="B23" s="139"/>
      <c r="C23" s="139"/>
      <c r="D23" s="139"/>
      <c r="E23" s="139"/>
      <c r="F23" s="145"/>
    </row>
    <row r="24" spans="2:6" ht="24">
      <c r="B24" s="180"/>
      <c r="C24" s="180"/>
      <c r="D24" s="180"/>
      <c r="E24" s="180"/>
      <c r="F24" s="180"/>
    </row>
    <row r="25" spans="2:6" ht="24">
      <c r="B25" s="180"/>
      <c r="C25" s="180"/>
      <c r="D25" s="180"/>
      <c r="E25" s="180"/>
      <c r="F25" s="180"/>
    </row>
    <row r="26" spans="2:6" ht="24">
      <c r="B26" s="180"/>
      <c r="C26" s="180"/>
      <c r="D26" s="180"/>
      <c r="E26" s="180"/>
      <c r="F26" s="180"/>
    </row>
    <row r="27" spans="2:6" ht="24">
      <c r="B27" s="180"/>
      <c r="C27" s="180"/>
      <c r="D27" s="180"/>
      <c r="E27" s="180"/>
      <c r="F27" s="180"/>
    </row>
  </sheetData>
  <sheetProtection/>
  <printOptions horizontalCentered="1"/>
  <pageMargins left="0" right="0" top="0.5905511811023623" bottom="0.5905511811023623" header="0.5118110236220472" footer="0.5118110236220472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31" zoomScalePageLayoutView="0" workbookViewId="0" topLeftCell="A1">
      <selection activeCell="A1" sqref="A1"/>
    </sheetView>
  </sheetViews>
  <sheetFormatPr defaultColWidth="9.140625" defaultRowHeight="12.75"/>
  <cols>
    <col min="1" max="1" width="32.421875" style="59" customWidth="1"/>
    <col min="2" max="2" width="16.421875" style="59" customWidth="1"/>
    <col min="3" max="3" width="17.140625" style="59" customWidth="1"/>
    <col min="4" max="4" width="15.7109375" style="59" customWidth="1"/>
    <col min="5" max="5" width="16.8515625" style="59" customWidth="1"/>
    <col min="6" max="6" width="17.57421875" style="59" customWidth="1"/>
    <col min="7" max="7" width="7.8515625" style="59" customWidth="1"/>
    <col min="8" max="8" width="9.00390625" style="59" bestFit="1" customWidth="1"/>
    <col min="9" max="9" width="16.57421875" style="59" customWidth="1"/>
    <col min="10" max="16384" width="9.140625" style="59" customWidth="1"/>
  </cols>
  <sheetData>
    <row r="1" spans="1:2" ht="23.25">
      <c r="A1" s="121" t="s">
        <v>74</v>
      </c>
      <c r="B1" s="77"/>
    </row>
    <row r="2" spans="1:9" ht="24">
      <c r="A2" s="77"/>
      <c r="B2" s="77"/>
      <c r="I2" s="1" t="s">
        <v>17</v>
      </c>
    </row>
    <row r="3" spans="1:9" s="63" customFormat="1" ht="23.25">
      <c r="A3" s="122" t="s">
        <v>20</v>
      </c>
      <c r="B3" s="60" t="s">
        <v>0</v>
      </c>
      <c r="C3" s="60" t="s">
        <v>1</v>
      </c>
      <c r="D3" s="60" t="s">
        <v>2</v>
      </c>
      <c r="E3" s="60" t="s">
        <v>3</v>
      </c>
      <c r="F3" s="60" t="s">
        <v>11</v>
      </c>
      <c r="G3" s="61" t="s">
        <v>9</v>
      </c>
      <c r="H3" s="61" t="s">
        <v>10</v>
      </c>
      <c r="I3" s="62" t="s">
        <v>12</v>
      </c>
    </row>
    <row r="4" spans="1:9" ht="46.5">
      <c r="A4" s="67" t="s">
        <v>96</v>
      </c>
      <c r="B4" s="64">
        <v>730076249.3700001</v>
      </c>
      <c r="C4" s="258">
        <v>39593337.13</v>
      </c>
      <c r="D4" s="64">
        <v>20071675.439999998</v>
      </c>
      <c r="E4" s="64">
        <v>27579004.59</v>
      </c>
      <c r="F4" s="64">
        <f>SUM(B4:E4)</f>
        <v>817320266.5300001</v>
      </c>
      <c r="G4" s="133">
        <v>616</v>
      </c>
      <c r="H4" s="65" t="s">
        <v>5</v>
      </c>
      <c r="I4" s="66">
        <f>F4/G4</f>
        <v>1326818.6144967533</v>
      </c>
    </row>
    <row r="5" spans="1:9" ht="24" thickBot="1">
      <c r="A5" s="123" t="s">
        <v>27</v>
      </c>
      <c r="B5" s="68">
        <f>SUM(B4:B4)</f>
        <v>730076249.3700001</v>
      </c>
      <c r="C5" s="259">
        <f>SUM(C4:C4)</f>
        <v>39593337.13</v>
      </c>
      <c r="D5" s="68">
        <f>SUM(D4:D4)</f>
        <v>20071675.439999998</v>
      </c>
      <c r="E5" s="68">
        <f>SUM(E4:E4)</f>
        <v>27579004.59</v>
      </c>
      <c r="F5" s="68">
        <f>SUM(B5:E5)</f>
        <v>817320266.5300001</v>
      </c>
      <c r="G5" s="69"/>
      <c r="H5" s="69"/>
      <c r="I5" s="69"/>
    </row>
    <row r="6" spans="1:6" ht="24" thickTop="1">
      <c r="A6" s="70"/>
      <c r="B6" s="70"/>
      <c r="C6" s="71"/>
      <c r="D6" s="70"/>
      <c r="E6" s="70"/>
      <c r="F6" s="70"/>
    </row>
    <row r="7" spans="1:6" ht="23.25">
      <c r="A7" s="70"/>
      <c r="B7" s="72"/>
      <c r="C7" s="73"/>
      <c r="D7" s="72"/>
      <c r="E7" s="73"/>
      <c r="F7" s="70"/>
    </row>
    <row r="8" spans="1:6" ht="23.25">
      <c r="A8" s="70"/>
      <c r="B8" s="74"/>
      <c r="C8" s="75"/>
      <c r="D8" s="74"/>
      <c r="E8" s="75"/>
      <c r="F8" s="70"/>
    </row>
    <row r="9" spans="1:6" ht="23.25">
      <c r="A9" s="70"/>
      <c r="B9" s="74"/>
      <c r="C9" s="75"/>
      <c r="D9" s="74"/>
      <c r="E9" s="75"/>
      <c r="F9" s="70"/>
    </row>
    <row r="10" spans="1:6" ht="23.25">
      <c r="A10" s="70"/>
      <c r="B10" s="74"/>
      <c r="C10" s="75"/>
      <c r="D10" s="74"/>
      <c r="E10" s="75"/>
      <c r="F10" s="70"/>
    </row>
    <row r="11" spans="1:6" ht="23.25">
      <c r="A11" s="70"/>
      <c r="B11" s="74"/>
      <c r="C11" s="75"/>
      <c r="D11" s="74"/>
      <c r="E11" s="75"/>
      <c r="F11" s="70"/>
    </row>
    <row r="12" spans="1:6" ht="23.25">
      <c r="A12" s="70"/>
      <c r="B12" s="74"/>
      <c r="C12" s="75"/>
      <c r="D12" s="74"/>
      <c r="E12" s="75"/>
      <c r="F12" s="70"/>
    </row>
    <row r="13" spans="1:6" ht="23.25">
      <c r="A13" s="70"/>
      <c r="B13" s="74"/>
      <c r="C13" s="75"/>
      <c r="D13" s="74"/>
      <c r="E13" s="75"/>
      <c r="F13" s="70"/>
    </row>
    <row r="14" spans="1:6" ht="23.25">
      <c r="A14" s="70"/>
      <c r="B14" s="74"/>
      <c r="C14" s="75"/>
      <c r="D14" s="74"/>
      <c r="E14" s="75"/>
      <c r="F14" s="70"/>
    </row>
    <row r="15" spans="1:6" ht="23.25">
      <c r="A15" s="70"/>
      <c r="B15" s="74"/>
      <c r="C15" s="75"/>
      <c r="D15" s="74"/>
      <c r="E15" s="75"/>
      <c r="F15" s="70"/>
    </row>
    <row r="16" spans="1:6" ht="23.25">
      <c r="A16" s="70"/>
      <c r="B16" s="74"/>
      <c r="C16" s="75"/>
      <c r="D16" s="74"/>
      <c r="E16" s="75"/>
      <c r="F16" s="70"/>
    </row>
    <row r="17" spans="1:6" ht="23.25">
      <c r="A17" s="70"/>
      <c r="B17" s="74"/>
      <c r="C17" s="75"/>
      <c r="D17" s="74"/>
      <c r="E17" s="75"/>
      <c r="F17" s="70"/>
    </row>
    <row r="18" spans="1:6" ht="23.25">
      <c r="A18" s="70"/>
      <c r="B18" s="74"/>
      <c r="C18" s="75"/>
      <c r="D18" s="74"/>
      <c r="E18" s="75"/>
      <c r="F18" s="70"/>
    </row>
    <row r="19" spans="1:6" ht="23.25">
      <c r="A19" s="70"/>
      <c r="B19" s="74"/>
      <c r="C19" s="75"/>
      <c r="D19" s="74"/>
      <c r="E19" s="75"/>
      <c r="F19" s="70"/>
    </row>
    <row r="20" spans="1:6" ht="23.25">
      <c r="A20" s="70"/>
      <c r="B20" s="74"/>
      <c r="C20" s="75"/>
      <c r="D20" s="74"/>
      <c r="E20" s="75"/>
      <c r="F20" s="70"/>
    </row>
    <row r="21" spans="1:6" ht="23.25">
      <c r="A21" s="70"/>
      <c r="B21" s="74"/>
      <c r="C21" s="75"/>
      <c r="D21" s="74"/>
      <c r="E21" s="75"/>
      <c r="F21" s="70"/>
    </row>
    <row r="22" spans="1:6" ht="23.25">
      <c r="A22" s="70"/>
      <c r="B22" s="74"/>
      <c r="C22" s="75"/>
      <c r="D22" s="74"/>
      <c r="E22" s="75"/>
      <c r="F22" s="70"/>
    </row>
    <row r="23" spans="1:6" ht="23.25">
      <c r="A23" s="70"/>
      <c r="B23" s="74"/>
      <c r="C23" s="75"/>
      <c r="D23" s="74"/>
      <c r="E23" s="75"/>
      <c r="F23" s="70"/>
    </row>
    <row r="24" spans="1:6" ht="23.25">
      <c r="A24" s="70"/>
      <c r="B24" s="74"/>
      <c r="C24" s="75"/>
      <c r="D24" s="74"/>
      <c r="E24" s="75"/>
      <c r="F24" s="70"/>
    </row>
    <row r="25" spans="1:6" ht="23.25">
      <c r="A25" s="70"/>
      <c r="B25" s="74"/>
      <c r="C25" s="75"/>
      <c r="D25" s="74"/>
      <c r="E25" s="75"/>
      <c r="F25" s="70"/>
    </row>
    <row r="26" spans="1:6" ht="23.25">
      <c r="A26" s="70"/>
      <c r="B26" s="74"/>
      <c r="C26" s="75"/>
      <c r="D26" s="74"/>
      <c r="E26" s="75"/>
      <c r="F26" s="70"/>
    </row>
    <row r="27" spans="1:6" ht="23.25">
      <c r="A27" s="71"/>
      <c r="B27" s="74"/>
      <c r="C27" s="75"/>
      <c r="D27" s="74"/>
      <c r="E27" s="75"/>
      <c r="F27" s="76"/>
    </row>
    <row r="28" spans="1:6" ht="23.25">
      <c r="A28" s="71"/>
      <c r="B28" s="74"/>
      <c r="C28" s="75"/>
      <c r="D28" s="74"/>
      <c r="E28" s="75"/>
      <c r="F28" s="76"/>
    </row>
    <row r="29" spans="1:6" ht="23.25">
      <c r="A29" s="71"/>
      <c r="B29" s="74"/>
      <c r="C29" s="75"/>
      <c r="D29" s="74"/>
      <c r="E29" s="75"/>
      <c r="F29" s="76"/>
    </row>
    <row r="30" spans="1:6" ht="23.25">
      <c r="A30" s="71"/>
      <c r="B30" s="74"/>
      <c r="C30" s="75"/>
      <c r="D30" s="74"/>
      <c r="E30" s="75"/>
      <c r="F30" s="76"/>
    </row>
    <row r="31" spans="2:6" ht="23.25">
      <c r="B31" s="74"/>
      <c r="C31" s="75"/>
      <c r="D31" s="74"/>
      <c r="E31" s="75"/>
      <c r="F31" s="77"/>
    </row>
    <row r="32" spans="2:6" ht="23.25">
      <c r="B32" s="74"/>
      <c r="C32" s="75"/>
      <c r="D32" s="74"/>
      <c r="E32" s="75"/>
      <c r="F32" s="77"/>
    </row>
    <row r="33" spans="2:6" ht="23.25">
      <c r="B33" s="74"/>
      <c r="C33" s="75"/>
      <c r="D33" s="74"/>
      <c r="E33" s="75"/>
      <c r="F33" s="77"/>
    </row>
    <row r="34" spans="2:6" ht="23.25">
      <c r="B34" s="74"/>
      <c r="C34" s="75"/>
      <c r="D34" s="74"/>
      <c r="E34" s="75"/>
      <c r="F34" s="77"/>
    </row>
    <row r="35" spans="2:6" ht="23.25">
      <c r="B35" s="77"/>
      <c r="C35" s="77"/>
      <c r="D35" s="77"/>
      <c r="E35" s="77"/>
      <c r="F35" s="77"/>
    </row>
    <row r="36" spans="2:6" ht="23.25">
      <c r="B36" s="77"/>
      <c r="C36" s="77"/>
      <c r="D36" s="77"/>
      <c r="E36" s="77"/>
      <c r="F36" s="77"/>
    </row>
    <row r="37" spans="2:6" ht="23.25">
      <c r="B37" s="77"/>
      <c r="C37" s="77"/>
      <c r="D37" s="77"/>
      <c r="E37" s="77"/>
      <c r="F37" s="77"/>
    </row>
    <row r="38" spans="2:6" ht="23.25">
      <c r="B38" s="77"/>
      <c r="C38" s="77"/>
      <c r="D38" s="77"/>
      <c r="E38" s="77"/>
      <c r="F38" s="77"/>
    </row>
    <row r="39" spans="2:6" ht="23.25">
      <c r="B39" s="77"/>
      <c r="C39" s="77"/>
      <c r="D39" s="77"/>
      <c r="E39" s="77"/>
      <c r="F39" s="77"/>
    </row>
    <row r="40" spans="2:6" ht="23.25">
      <c r="B40" s="77"/>
      <c r="C40" s="77"/>
      <c r="D40" s="77"/>
      <c r="E40" s="77"/>
      <c r="F40" s="77"/>
    </row>
    <row r="41" spans="2:6" ht="23.25">
      <c r="B41" s="77"/>
      <c r="C41" s="77"/>
      <c r="D41" s="77"/>
      <c r="E41" s="77"/>
      <c r="F41" s="77"/>
    </row>
    <row r="42" spans="2:6" ht="23.25">
      <c r="B42" s="77"/>
      <c r="C42" s="77"/>
      <c r="D42" s="77"/>
      <c r="E42" s="77"/>
      <c r="F42" s="77"/>
    </row>
  </sheetData>
  <sheetProtection/>
  <printOptions horizontalCentered="1"/>
  <pageMargins left="0" right="0" top="0.590551181102362" bottom="0" header="0.511811023622047" footer="0.511811023622047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5"/>
  <sheetViews>
    <sheetView zoomScale="90" zoomScaleNormal="90" zoomScaleSheetLayoutView="131" zoomScalePageLayoutView="0" workbookViewId="0" topLeftCell="A1">
      <pane xSplit="2" ySplit="4" topLeftCell="I59" activePane="bottomRight" state="frozen"/>
      <selection pane="topLeft" activeCell="A7" sqref="A7:N9"/>
      <selection pane="topRight" activeCell="A7" sqref="A7:N9"/>
      <selection pane="bottomLeft" activeCell="A7" sqref="A7:N9"/>
      <selection pane="bottomRight" activeCell="A67" sqref="A67:IV69"/>
    </sheetView>
  </sheetViews>
  <sheetFormatPr defaultColWidth="14.57421875" defaultRowHeight="12.75"/>
  <cols>
    <col min="1" max="1" width="4.57421875" style="263" customWidth="1"/>
    <col min="2" max="2" width="58.28125" style="23" customWidth="1"/>
    <col min="3" max="3" width="16.140625" style="23" bestFit="1" customWidth="1"/>
    <col min="4" max="4" width="17.28125" style="23" bestFit="1" customWidth="1"/>
    <col min="5" max="5" width="15.00390625" style="23" bestFit="1" customWidth="1"/>
    <col min="6" max="6" width="15.00390625" style="23" customWidth="1"/>
    <col min="7" max="7" width="16.140625" style="23" bestFit="1" customWidth="1"/>
    <col min="8" max="8" width="16.140625" style="118" bestFit="1" customWidth="1"/>
    <col min="9" max="9" width="19.140625" style="23" bestFit="1" customWidth="1"/>
    <col min="10" max="10" width="14.00390625" style="180" bestFit="1" customWidth="1"/>
    <col min="11" max="11" width="16.8515625" style="157" bestFit="1" customWidth="1"/>
    <col min="12" max="12" width="18.00390625" style="157" bestFit="1" customWidth="1"/>
    <col min="13" max="13" width="17.00390625" style="157" bestFit="1" customWidth="1"/>
    <col min="14" max="14" width="15.7109375" style="157" bestFit="1" customWidth="1"/>
    <col min="15" max="15" width="16.8515625" style="157" bestFit="1" customWidth="1"/>
    <col min="16" max="16" width="13.421875" style="296" bestFit="1" customWidth="1"/>
    <col min="17" max="17" width="19.140625" style="25" bestFit="1" customWidth="1"/>
    <col min="18" max="18" width="13.8515625" style="25" bestFit="1" customWidth="1"/>
    <col min="19" max="19" width="11.421875" style="668" bestFit="1" customWidth="1"/>
    <col min="20" max="20" width="13.421875" style="668" bestFit="1" customWidth="1"/>
    <col min="21" max="21" width="14.00390625" style="668" bestFit="1" customWidth="1"/>
    <col min="22" max="22" width="15.00390625" style="23" bestFit="1" customWidth="1"/>
    <col min="23" max="16384" width="14.57421875" style="23" customWidth="1"/>
  </cols>
  <sheetData>
    <row r="1" spans="2:21" ht="27.75">
      <c r="B1" s="705" t="s">
        <v>395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</row>
    <row r="2" spans="1:21" s="14" customFormat="1" ht="30.75" customHeight="1">
      <c r="A2" s="264"/>
      <c r="B2" s="13" t="s">
        <v>75</v>
      </c>
      <c r="H2" s="270"/>
      <c r="J2" s="182"/>
      <c r="K2" s="230"/>
      <c r="L2" s="230"/>
      <c r="M2" s="230"/>
      <c r="N2" s="230"/>
      <c r="O2" s="230"/>
      <c r="P2" s="289"/>
      <c r="Q2" s="161"/>
      <c r="R2" s="161"/>
      <c r="S2" s="706" t="s">
        <v>102</v>
      </c>
      <c r="T2" s="707"/>
      <c r="U2" s="707"/>
    </row>
    <row r="3" spans="1:21" s="14" customFormat="1" ht="24">
      <c r="A3" s="265"/>
      <c r="B3" s="708" t="s">
        <v>14</v>
      </c>
      <c r="C3" s="710" t="s">
        <v>380</v>
      </c>
      <c r="D3" s="711"/>
      <c r="E3" s="711"/>
      <c r="F3" s="711"/>
      <c r="G3" s="711"/>
      <c r="H3" s="711"/>
      <c r="I3" s="711"/>
      <c r="J3" s="712"/>
      <c r="K3" s="710" t="s">
        <v>394</v>
      </c>
      <c r="L3" s="711"/>
      <c r="M3" s="711"/>
      <c r="N3" s="711"/>
      <c r="O3" s="711"/>
      <c r="P3" s="711"/>
      <c r="Q3" s="711"/>
      <c r="R3" s="712"/>
      <c r="S3" s="713" t="s">
        <v>46</v>
      </c>
      <c r="T3" s="714"/>
      <c r="U3" s="715"/>
    </row>
    <row r="4" spans="1:21" s="18" customFormat="1" ht="96">
      <c r="A4" s="266"/>
      <c r="B4" s="709"/>
      <c r="C4" s="15" t="s">
        <v>0</v>
      </c>
      <c r="D4" s="15" t="s">
        <v>1</v>
      </c>
      <c r="E4" s="15" t="s">
        <v>2</v>
      </c>
      <c r="F4" s="15" t="s">
        <v>3</v>
      </c>
      <c r="G4" s="15" t="s">
        <v>11</v>
      </c>
      <c r="H4" s="16" t="s">
        <v>9</v>
      </c>
      <c r="I4" s="16" t="s">
        <v>10</v>
      </c>
      <c r="J4" s="183" t="s">
        <v>12</v>
      </c>
      <c r="K4" s="283" t="s">
        <v>0</v>
      </c>
      <c r="L4" s="183" t="s">
        <v>1</v>
      </c>
      <c r="M4" s="183" t="s">
        <v>2</v>
      </c>
      <c r="N4" s="183" t="s">
        <v>3</v>
      </c>
      <c r="O4" s="183" t="s">
        <v>11</v>
      </c>
      <c r="P4" s="288" t="s">
        <v>9</v>
      </c>
      <c r="Q4" s="16" t="s">
        <v>10</v>
      </c>
      <c r="R4" s="17" t="s">
        <v>12</v>
      </c>
      <c r="S4" s="661" t="s">
        <v>43</v>
      </c>
      <c r="T4" s="661" t="s">
        <v>44</v>
      </c>
      <c r="U4" s="662" t="s">
        <v>45</v>
      </c>
    </row>
    <row r="5" spans="1:21" s="20" customFormat="1" ht="24">
      <c r="A5" s="267"/>
      <c r="B5" s="261" t="s">
        <v>15</v>
      </c>
      <c r="C5" s="78"/>
      <c r="D5" s="78"/>
      <c r="E5" s="78"/>
      <c r="F5" s="78"/>
      <c r="G5" s="78"/>
      <c r="H5" s="271"/>
      <c r="I5" s="78"/>
      <c r="J5" s="184"/>
      <c r="K5" s="284"/>
      <c r="L5" s="284"/>
      <c r="M5" s="284"/>
      <c r="N5" s="284"/>
      <c r="O5" s="284"/>
      <c r="P5" s="290"/>
      <c r="Q5" s="285"/>
      <c r="R5" s="285"/>
      <c r="S5" s="663"/>
      <c r="T5" s="663"/>
      <c r="U5" s="664"/>
    </row>
    <row r="6" spans="1:21" s="20" customFormat="1" ht="24">
      <c r="A6" s="223">
        <v>1</v>
      </c>
      <c r="B6" s="231" t="s">
        <v>403</v>
      </c>
      <c r="C6" s="622">
        <f>+C7+C8+C9</f>
        <v>11476475.43</v>
      </c>
      <c r="D6" s="622">
        <f>+D7+D8+D9</f>
        <v>27222.98</v>
      </c>
      <c r="E6" s="622">
        <f>+E7+E8+E9</f>
        <v>493585.29000000004</v>
      </c>
      <c r="F6" s="622">
        <f>+F7+F8+F9</f>
        <v>46710.96</v>
      </c>
      <c r="G6" s="622">
        <f>SUM(C6:F6)</f>
        <v>12043994.66</v>
      </c>
      <c r="H6" s="623">
        <v>36</v>
      </c>
      <c r="I6" s="260" t="s">
        <v>4</v>
      </c>
      <c r="J6" s="619">
        <f>+G6/H6</f>
        <v>334555.40722222225</v>
      </c>
      <c r="K6" s="620">
        <v>11303325.51</v>
      </c>
      <c r="L6" s="620">
        <v>37661.83</v>
      </c>
      <c r="M6" s="620">
        <v>295462.07</v>
      </c>
      <c r="N6" s="620">
        <v>44389.27</v>
      </c>
      <c r="O6" s="620">
        <f>+K6+L6+M6+N6</f>
        <v>11680838.68</v>
      </c>
      <c r="P6" s="621">
        <v>28</v>
      </c>
      <c r="Q6" s="223" t="s">
        <v>4</v>
      </c>
      <c r="R6" s="286">
        <f>+O6/P6</f>
        <v>417172.81</v>
      </c>
      <c r="S6" s="665">
        <f>(O6-G6)*100/G6</f>
        <v>-3.0152452757729837</v>
      </c>
      <c r="T6" s="665">
        <f>(P6-H6)*100/H6</f>
        <v>-22.22222222222222</v>
      </c>
      <c r="U6" s="665">
        <f>(R6-J6)*100/J6</f>
        <v>24.69468464543473</v>
      </c>
    </row>
    <row r="7" spans="1:23" s="568" customFormat="1" ht="24" hidden="1">
      <c r="A7" s="562"/>
      <c r="B7" s="553" t="s">
        <v>246</v>
      </c>
      <c r="C7" s="563">
        <v>4565909.58</v>
      </c>
      <c r="D7" s="563">
        <v>10830.65</v>
      </c>
      <c r="E7" s="563">
        <v>196372.64</v>
      </c>
      <c r="F7" s="563">
        <v>18583.93</v>
      </c>
      <c r="G7" s="564">
        <f>SUM(C7:F7)</f>
        <v>4791696.8</v>
      </c>
      <c r="H7" s="565">
        <v>32</v>
      </c>
      <c r="I7" s="569" t="s">
        <v>4</v>
      </c>
      <c r="J7" s="566">
        <f>+G7/H7</f>
        <v>149740.525</v>
      </c>
      <c r="K7" s="564"/>
      <c r="L7" s="564"/>
      <c r="M7" s="564"/>
      <c r="N7" s="564"/>
      <c r="O7" s="564">
        <f>+K7+L7+M7+N7</f>
        <v>0</v>
      </c>
      <c r="P7" s="567"/>
      <c r="Q7" s="569" t="s">
        <v>4</v>
      </c>
      <c r="R7" s="566" t="e">
        <f aca="true" t="shared" si="0" ref="R7:R12">+O7/P7</f>
        <v>#DIV/0!</v>
      </c>
      <c r="S7" s="665">
        <f>(O7-G7)*100/G7</f>
        <v>-100</v>
      </c>
      <c r="T7" s="665">
        <f>(P7-H7)*100/H7</f>
        <v>-100</v>
      </c>
      <c r="U7" s="665" t="e">
        <f>(R7-J7)*100/J7</f>
        <v>#DIV/0!</v>
      </c>
      <c r="W7" s="618"/>
    </row>
    <row r="8" spans="1:23" s="568" customFormat="1" ht="24" hidden="1">
      <c r="A8" s="562"/>
      <c r="B8" s="553" t="s">
        <v>247</v>
      </c>
      <c r="C8" s="563">
        <v>4565909.58</v>
      </c>
      <c r="D8" s="563">
        <v>10830.65</v>
      </c>
      <c r="E8" s="563">
        <v>196372.64</v>
      </c>
      <c r="F8" s="563">
        <v>18583.93</v>
      </c>
      <c r="G8" s="564">
        <f aca="true" t="shared" si="1" ref="G8:G13">SUM(C8:F8)</f>
        <v>4791696.8</v>
      </c>
      <c r="H8" s="565">
        <v>33</v>
      </c>
      <c r="I8" s="569" t="s">
        <v>4</v>
      </c>
      <c r="J8" s="566">
        <f aca="true" t="shared" si="2" ref="J8:J64">+G8/H8</f>
        <v>145202.93333333332</v>
      </c>
      <c r="K8" s="564"/>
      <c r="L8" s="564"/>
      <c r="M8" s="564"/>
      <c r="N8" s="564"/>
      <c r="O8" s="564">
        <f aca="true" t="shared" si="3" ref="O8:O64">+K8+L8+M8+N8</f>
        <v>0</v>
      </c>
      <c r="P8" s="567"/>
      <c r="Q8" s="569" t="s">
        <v>4</v>
      </c>
      <c r="R8" s="566" t="e">
        <f t="shared" si="0"/>
        <v>#DIV/0!</v>
      </c>
      <c r="S8" s="665">
        <f aca="true" t="shared" si="4" ref="S8:S64">(O8-G8)*100/G8</f>
        <v>-100</v>
      </c>
      <c r="T8" s="665">
        <f aca="true" t="shared" si="5" ref="T8:T64">(P8-H8)*100/H8</f>
        <v>-100</v>
      </c>
      <c r="U8" s="665" t="e">
        <f aca="true" t="shared" si="6" ref="U8:U64">(R8-J8)*100/J8</f>
        <v>#DIV/0!</v>
      </c>
      <c r="W8" s="618"/>
    </row>
    <row r="9" spans="1:23" s="568" customFormat="1" ht="24" hidden="1">
      <c r="A9" s="562"/>
      <c r="B9" s="553" t="s">
        <v>248</v>
      </c>
      <c r="C9" s="563">
        <v>2344656.27</v>
      </c>
      <c r="D9" s="563">
        <v>5561.68</v>
      </c>
      <c r="E9" s="563">
        <v>100840.01</v>
      </c>
      <c r="F9" s="563">
        <v>9543.1</v>
      </c>
      <c r="G9" s="564">
        <f t="shared" si="1"/>
        <v>2460601.06</v>
      </c>
      <c r="H9" s="565">
        <v>17</v>
      </c>
      <c r="I9" s="569" t="s">
        <v>4</v>
      </c>
      <c r="J9" s="566">
        <f t="shared" si="2"/>
        <v>144741.23882352942</v>
      </c>
      <c r="K9" s="564"/>
      <c r="L9" s="564"/>
      <c r="M9" s="564"/>
      <c r="N9" s="564"/>
      <c r="O9" s="564">
        <f t="shared" si="3"/>
        <v>0</v>
      </c>
      <c r="P9" s="567"/>
      <c r="Q9" s="569" t="s">
        <v>4</v>
      </c>
      <c r="R9" s="566" t="e">
        <f t="shared" si="0"/>
        <v>#DIV/0!</v>
      </c>
      <c r="S9" s="665">
        <f t="shared" si="4"/>
        <v>-100</v>
      </c>
      <c r="T9" s="665">
        <f t="shared" si="5"/>
        <v>-100</v>
      </c>
      <c r="U9" s="665" t="e">
        <f t="shared" si="6"/>
        <v>#DIV/0!</v>
      </c>
      <c r="W9" s="618"/>
    </row>
    <row r="10" spans="1:23" s="20" customFormat="1" ht="24">
      <c r="A10" s="267">
        <f>+A6+1</f>
        <v>2</v>
      </c>
      <c r="B10" s="225" t="s">
        <v>249</v>
      </c>
      <c r="C10" s="185">
        <v>33471268.279999997</v>
      </c>
      <c r="D10" s="185">
        <v>85558.9</v>
      </c>
      <c r="E10" s="185">
        <v>1809003.01</v>
      </c>
      <c r="F10" s="185">
        <v>2378167.1599999997</v>
      </c>
      <c r="G10" s="21">
        <f t="shared" si="1"/>
        <v>37743997.349999994</v>
      </c>
      <c r="H10" s="275">
        <v>18</v>
      </c>
      <c r="I10" s="304" t="s">
        <v>4</v>
      </c>
      <c r="J10" s="79">
        <f t="shared" si="2"/>
        <v>2096888.7416666662</v>
      </c>
      <c r="K10" s="581">
        <v>37508998.69</v>
      </c>
      <c r="L10" s="581">
        <v>119911.11</v>
      </c>
      <c r="M10" s="581">
        <v>2140101.48</v>
      </c>
      <c r="N10" s="581">
        <v>1162838.3499999999</v>
      </c>
      <c r="O10" s="21">
        <f t="shared" si="3"/>
        <v>40931849.629999995</v>
      </c>
      <c r="P10" s="279">
        <v>21</v>
      </c>
      <c r="Q10" s="349" t="s">
        <v>4</v>
      </c>
      <c r="R10" s="79">
        <f t="shared" si="0"/>
        <v>1949135.6966666665</v>
      </c>
      <c r="S10" s="665">
        <f t="shared" si="4"/>
        <v>8.445984802401968</v>
      </c>
      <c r="T10" s="665">
        <f t="shared" si="5"/>
        <v>16.666666666666668</v>
      </c>
      <c r="U10" s="665">
        <f t="shared" si="6"/>
        <v>-7.046298740798304</v>
      </c>
      <c r="W10" s="613"/>
    </row>
    <row r="11" spans="1:23" s="20" customFormat="1" ht="24">
      <c r="A11" s="267">
        <f aca="true" t="shared" si="7" ref="A11:A40">+A10+1</f>
        <v>3</v>
      </c>
      <c r="B11" s="225" t="s">
        <v>288</v>
      </c>
      <c r="C11" s="107">
        <v>267638932.5</v>
      </c>
      <c r="D11" s="107">
        <v>3237329.21</v>
      </c>
      <c r="E11" s="107">
        <v>1385679.91</v>
      </c>
      <c r="F11" s="107">
        <v>4026118.55</v>
      </c>
      <c r="G11" s="21">
        <f t="shared" si="1"/>
        <v>276288060.17</v>
      </c>
      <c r="H11" s="275">
        <v>121</v>
      </c>
      <c r="I11" s="349" t="s">
        <v>4</v>
      </c>
      <c r="J11" s="79">
        <f t="shared" si="2"/>
        <v>2283372.398099174</v>
      </c>
      <c r="K11" s="21">
        <v>260099499.02</v>
      </c>
      <c r="L11" s="21">
        <v>8983337.84</v>
      </c>
      <c r="M11" s="21">
        <v>2168326.72</v>
      </c>
      <c r="N11" s="21">
        <v>2704558.77</v>
      </c>
      <c r="O11" s="21">
        <f t="shared" si="3"/>
        <v>273955722.35</v>
      </c>
      <c r="P11" s="279">
        <v>120</v>
      </c>
      <c r="Q11" s="349" t="s">
        <v>4</v>
      </c>
      <c r="R11" s="79">
        <f t="shared" si="0"/>
        <v>2282964.352916667</v>
      </c>
      <c r="S11" s="665">
        <f t="shared" si="4"/>
        <v>-0.8441688788740656</v>
      </c>
      <c r="T11" s="665">
        <f t="shared" si="5"/>
        <v>-0.8264462809917356</v>
      </c>
      <c r="U11" s="665">
        <f t="shared" si="6"/>
        <v>-0.01787028619802458</v>
      </c>
      <c r="W11" s="613"/>
    </row>
    <row r="12" spans="1:23" s="20" customFormat="1" ht="72">
      <c r="A12" s="267">
        <f t="shared" si="7"/>
        <v>4</v>
      </c>
      <c r="B12" s="262" t="s">
        <v>407</v>
      </c>
      <c r="C12" s="185">
        <v>41407416.83</v>
      </c>
      <c r="D12" s="185">
        <v>93840.19</v>
      </c>
      <c r="E12" s="185">
        <v>43961782.61</v>
      </c>
      <c r="F12" s="185">
        <v>182966.73</v>
      </c>
      <c r="G12" s="21">
        <f t="shared" si="1"/>
        <v>85646006.36</v>
      </c>
      <c r="H12" s="279">
        <v>12</v>
      </c>
      <c r="I12" s="590" t="s">
        <v>4</v>
      </c>
      <c r="J12" s="286">
        <f t="shared" si="2"/>
        <v>7137167.196666666</v>
      </c>
      <c r="K12" s="21">
        <v>60550381.2</v>
      </c>
      <c r="L12" s="21">
        <v>1730722.61</v>
      </c>
      <c r="M12" s="21">
        <v>3960037.3400000003</v>
      </c>
      <c r="N12" s="21">
        <v>199087.83000000002</v>
      </c>
      <c r="O12" s="21">
        <f>+K12+L12+M12+N12</f>
        <v>66440228.980000004</v>
      </c>
      <c r="P12" s="279">
        <v>14</v>
      </c>
      <c r="Q12" s="590" t="s">
        <v>4</v>
      </c>
      <c r="R12" s="286">
        <f t="shared" si="0"/>
        <v>4745730.641428572</v>
      </c>
      <c r="S12" s="665">
        <f t="shared" si="4"/>
        <v>-22.424603546920125</v>
      </c>
      <c r="T12" s="665">
        <f t="shared" si="5"/>
        <v>16.666666666666668</v>
      </c>
      <c r="U12" s="665">
        <f t="shared" si="6"/>
        <v>-33.50680304021724</v>
      </c>
      <c r="W12" s="613"/>
    </row>
    <row r="13" spans="1:23" s="568" customFormat="1" ht="24" hidden="1">
      <c r="A13" s="562"/>
      <c r="B13" s="553" t="s">
        <v>313</v>
      </c>
      <c r="C13" s="579"/>
      <c r="D13" s="579"/>
      <c r="E13" s="579"/>
      <c r="F13" s="579"/>
      <c r="G13" s="564">
        <f t="shared" si="1"/>
        <v>0</v>
      </c>
      <c r="H13" s="565"/>
      <c r="I13" s="589" t="s">
        <v>4</v>
      </c>
      <c r="J13" s="580"/>
      <c r="K13" s="564"/>
      <c r="L13" s="564"/>
      <c r="M13" s="564"/>
      <c r="N13" s="564"/>
      <c r="O13" s="564">
        <f t="shared" si="3"/>
        <v>0</v>
      </c>
      <c r="P13" s="567"/>
      <c r="Q13" s="589" t="s">
        <v>4</v>
      </c>
      <c r="R13" s="566"/>
      <c r="S13" s="665" t="e">
        <f t="shared" si="4"/>
        <v>#DIV/0!</v>
      </c>
      <c r="T13" s="665" t="e">
        <f t="shared" si="5"/>
        <v>#DIV/0!</v>
      </c>
      <c r="U13" s="665" t="e">
        <f t="shared" si="6"/>
        <v>#DIV/0!</v>
      </c>
      <c r="W13" s="613"/>
    </row>
    <row r="14" spans="1:23" s="568" customFormat="1" ht="24" hidden="1">
      <c r="A14" s="562"/>
      <c r="B14" s="553" t="s">
        <v>329</v>
      </c>
      <c r="C14" s="563"/>
      <c r="D14" s="563"/>
      <c r="E14" s="563"/>
      <c r="F14" s="563"/>
      <c r="G14" s="564"/>
      <c r="H14" s="565"/>
      <c r="I14" s="589" t="s">
        <v>4</v>
      </c>
      <c r="J14" s="566"/>
      <c r="K14" s="564"/>
      <c r="L14" s="564"/>
      <c r="M14" s="564"/>
      <c r="N14" s="564"/>
      <c r="O14" s="564">
        <f t="shared" si="3"/>
        <v>0</v>
      </c>
      <c r="P14" s="567"/>
      <c r="Q14" s="589" t="s">
        <v>4</v>
      </c>
      <c r="R14" s="566"/>
      <c r="S14" s="665" t="e">
        <f t="shared" si="4"/>
        <v>#DIV/0!</v>
      </c>
      <c r="T14" s="665" t="e">
        <f t="shared" si="5"/>
        <v>#DIV/0!</v>
      </c>
      <c r="U14" s="665" t="e">
        <f t="shared" si="6"/>
        <v>#DIV/0!</v>
      </c>
      <c r="W14" s="613"/>
    </row>
    <row r="15" spans="1:23" s="568" customFormat="1" ht="24" hidden="1">
      <c r="A15" s="562"/>
      <c r="B15" s="553" t="s">
        <v>316</v>
      </c>
      <c r="C15" s="563"/>
      <c r="D15" s="563"/>
      <c r="E15" s="563"/>
      <c r="F15" s="563"/>
      <c r="G15" s="564"/>
      <c r="H15" s="565"/>
      <c r="I15" s="589" t="s">
        <v>4</v>
      </c>
      <c r="J15" s="566"/>
      <c r="K15" s="564"/>
      <c r="L15" s="564"/>
      <c r="M15" s="564"/>
      <c r="N15" s="564"/>
      <c r="O15" s="564">
        <f t="shared" si="3"/>
        <v>0</v>
      </c>
      <c r="P15" s="567"/>
      <c r="Q15" s="589" t="s">
        <v>4</v>
      </c>
      <c r="R15" s="566"/>
      <c r="S15" s="665" t="e">
        <f t="shared" si="4"/>
        <v>#DIV/0!</v>
      </c>
      <c r="T15" s="665" t="e">
        <f t="shared" si="5"/>
        <v>#DIV/0!</v>
      </c>
      <c r="U15" s="665" t="e">
        <f t="shared" si="6"/>
        <v>#DIV/0!</v>
      </c>
      <c r="W15" s="613"/>
    </row>
    <row r="16" spans="1:23" s="20" customFormat="1" ht="24">
      <c r="A16" s="267">
        <f>+A12+1</f>
        <v>5</v>
      </c>
      <c r="B16" s="225" t="s">
        <v>289</v>
      </c>
      <c r="C16" s="107">
        <v>23980374.55</v>
      </c>
      <c r="D16" s="107">
        <v>53268.75</v>
      </c>
      <c r="E16" s="107">
        <v>35830612.73</v>
      </c>
      <c r="F16" s="107">
        <v>109510.41</v>
      </c>
      <c r="G16" s="21">
        <f>SUM(C16:F16)</f>
        <v>59973766.44</v>
      </c>
      <c r="H16" s="275">
        <v>7435</v>
      </c>
      <c r="I16" s="80" t="s">
        <v>4</v>
      </c>
      <c r="J16" s="79">
        <f t="shared" si="2"/>
        <v>8066.411088096839</v>
      </c>
      <c r="K16" s="21">
        <v>38581816.25</v>
      </c>
      <c r="L16" s="21">
        <v>1389954.68</v>
      </c>
      <c r="M16" s="21">
        <v>2969767.12</v>
      </c>
      <c r="N16" s="21">
        <v>119587.49</v>
      </c>
      <c r="O16" s="21">
        <f t="shared" si="3"/>
        <v>43061125.54</v>
      </c>
      <c r="P16" s="279">
        <v>1158</v>
      </c>
      <c r="Q16" s="80" t="s">
        <v>4</v>
      </c>
      <c r="R16" s="79">
        <f>+O16/P16</f>
        <v>37185.77335060449</v>
      </c>
      <c r="S16" s="665">
        <f t="shared" si="4"/>
        <v>-28.200064634793343</v>
      </c>
      <c r="T16" s="665">
        <f t="shared" si="5"/>
        <v>-84.42501681237391</v>
      </c>
      <c r="U16" s="665">
        <f t="shared" si="6"/>
        <v>360.99526721961263</v>
      </c>
      <c r="V16" s="141"/>
      <c r="W16" s="613"/>
    </row>
    <row r="17" spans="1:23" s="20" customFormat="1" ht="24">
      <c r="A17" s="267">
        <f t="shared" si="7"/>
        <v>6</v>
      </c>
      <c r="B17" s="225" t="s">
        <v>365</v>
      </c>
      <c r="C17" s="582">
        <v>215096.69</v>
      </c>
      <c r="D17" s="582">
        <v>477.8</v>
      </c>
      <c r="E17" s="582">
        <v>321389.74</v>
      </c>
      <c r="F17" s="582">
        <v>982.28</v>
      </c>
      <c r="G17" s="21">
        <f aca="true" t="shared" si="8" ref="G17:G64">SUM(C17:F17)</f>
        <v>537946.51</v>
      </c>
      <c r="H17" s="275">
        <v>804</v>
      </c>
      <c r="I17" s="80" t="s">
        <v>326</v>
      </c>
      <c r="J17" s="79">
        <f t="shared" si="2"/>
        <v>669.0876990049751</v>
      </c>
      <c r="K17" s="21">
        <v>346067.2</v>
      </c>
      <c r="L17" s="21">
        <v>12467.47</v>
      </c>
      <c r="M17" s="21">
        <v>26637.91</v>
      </c>
      <c r="N17" s="21">
        <v>1072.67</v>
      </c>
      <c r="O17" s="21">
        <f t="shared" si="3"/>
        <v>386245.24999999994</v>
      </c>
      <c r="P17" s="279">
        <v>902</v>
      </c>
      <c r="Q17" s="80" t="s">
        <v>326</v>
      </c>
      <c r="R17" s="79">
        <f aca="true" t="shared" si="9" ref="R17:R28">+O17/P17</f>
        <v>428.2098115299334</v>
      </c>
      <c r="S17" s="665">
        <f t="shared" si="4"/>
        <v>-28.200063980338875</v>
      </c>
      <c r="T17" s="665">
        <f t="shared" si="5"/>
        <v>12.189054726368159</v>
      </c>
      <c r="U17" s="665">
        <f t="shared" si="6"/>
        <v>-36.000943946998284</v>
      </c>
      <c r="V17" s="141"/>
      <c r="W17" s="613"/>
    </row>
    <row r="18" spans="1:23" s="20" customFormat="1" ht="24">
      <c r="A18" s="267">
        <f t="shared" si="7"/>
        <v>7</v>
      </c>
      <c r="B18" s="225" t="s">
        <v>252</v>
      </c>
      <c r="C18" s="107">
        <v>1845762.16</v>
      </c>
      <c r="D18" s="107">
        <v>4100.08</v>
      </c>
      <c r="E18" s="107">
        <v>2757871.4</v>
      </c>
      <c r="F18" s="107">
        <v>8428.98</v>
      </c>
      <c r="G18" s="21">
        <f t="shared" si="8"/>
        <v>4616162.62</v>
      </c>
      <c r="H18" s="275">
        <v>62</v>
      </c>
      <c r="I18" s="80" t="s">
        <v>4</v>
      </c>
      <c r="J18" s="79">
        <f t="shared" si="2"/>
        <v>74454.23580645162</v>
      </c>
      <c r="K18" s="21">
        <v>2969630.71</v>
      </c>
      <c r="L18" s="21">
        <v>106984.39</v>
      </c>
      <c r="M18" s="21">
        <v>228582.08</v>
      </c>
      <c r="N18" s="21">
        <v>9204.61</v>
      </c>
      <c r="O18" s="21">
        <f t="shared" si="3"/>
        <v>3314401.79</v>
      </c>
      <c r="P18" s="279">
        <v>57</v>
      </c>
      <c r="Q18" s="80" t="s">
        <v>4</v>
      </c>
      <c r="R18" s="79">
        <f t="shared" si="9"/>
        <v>58147.399824561406</v>
      </c>
      <c r="S18" s="665">
        <f t="shared" si="4"/>
        <v>-28.200064364283595</v>
      </c>
      <c r="T18" s="665">
        <f t="shared" si="5"/>
        <v>-8.064516129032258</v>
      </c>
      <c r="U18" s="665">
        <f t="shared" si="6"/>
        <v>-21.901824396238297</v>
      </c>
      <c r="V18" s="141"/>
      <c r="W18" s="613"/>
    </row>
    <row r="19" spans="1:23" s="20" customFormat="1" ht="24">
      <c r="A19" s="267">
        <f t="shared" si="7"/>
        <v>8</v>
      </c>
      <c r="B19" s="225" t="s">
        <v>253</v>
      </c>
      <c r="C19" s="107">
        <v>1366154.67</v>
      </c>
      <c r="D19" s="107">
        <v>3034.7</v>
      </c>
      <c r="E19" s="107">
        <v>2041259.15</v>
      </c>
      <c r="F19" s="107">
        <v>6238.78</v>
      </c>
      <c r="G19" s="21">
        <f t="shared" si="8"/>
        <v>3416687.2999999993</v>
      </c>
      <c r="H19" s="275">
        <v>64</v>
      </c>
      <c r="I19" s="80" t="s">
        <v>4</v>
      </c>
      <c r="J19" s="79">
        <f t="shared" si="2"/>
        <v>53385.73906249999</v>
      </c>
      <c r="K19" s="21">
        <v>2197994.38</v>
      </c>
      <c r="L19" s="21">
        <v>79185.3</v>
      </c>
      <c r="M19" s="21">
        <v>169186.73</v>
      </c>
      <c r="N19" s="21">
        <v>6812.87</v>
      </c>
      <c r="O19" s="21">
        <f t="shared" si="3"/>
        <v>2453179.28</v>
      </c>
      <c r="P19" s="279">
        <v>80</v>
      </c>
      <c r="Q19" s="80" t="s">
        <v>4</v>
      </c>
      <c r="R19" s="79">
        <f t="shared" si="9"/>
        <v>30664.740999999998</v>
      </c>
      <c r="S19" s="665">
        <f t="shared" si="4"/>
        <v>-28.200064430830405</v>
      </c>
      <c r="T19" s="665">
        <f t="shared" si="5"/>
        <v>25</v>
      </c>
      <c r="U19" s="665">
        <f t="shared" si="6"/>
        <v>-42.56005154466432</v>
      </c>
      <c r="V19" s="141"/>
      <c r="W19" s="613"/>
    </row>
    <row r="20" spans="1:23" s="568" customFormat="1" ht="24" hidden="1">
      <c r="A20" s="562">
        <f t="shared" si="7"/>
        <v>9</v>
      </c>
      <c r="B20" s="553" t="s">
        <v>319</v>
      </c>
      <c r="C20" s="563"/>
      <c r="D20" s="563"/>
      <c r="E20" s="563"/>
      <c r="F20" s="563"/>
      <c r="G20" s="564">
        <f t="shared" si="8"/>
        <v>0</v>
      </c>
      <c r="H20" s="565"/>
      <c r="I20" s="569" t="s">
        <v>4</v>
      </c>
      <c r="J20" s="566" t="e">
        <f t="shared" si="2"/>
        <v>#DIV/0!</v>
      </c>
      <c r="K20" s="564"/>
      <c r="L20" s="564"/>
      <c r="M20" s="564"/>
      <c r="N20" s="564"/>
      <c r="O20" s="564">
        <f t="shared" si="3"/>
        <v>0</v>
      </c>
      <c r="P20" s="567"/>
      <c r="Q20" s="569" t="s">
        <v>4</v>
      </c>
      <c r="R20" s="566" t="e">
        <f t="shared" si="9"/>
        <v>#DIV/0!</v>
      </c>
      <c r="S20" s="665" t="e">
        <f t="shared" si="4"/>
        <v>#DIV/0!</v>
      </c>
      <c r="T20" s="665" t="e">
        <f t="shared" si="5"/>
        <v>#DIV/0!</v>
      </c>
      <c r="U20" s="665" t="e">
        <f t="shared" si="6"/>
        <v>#DIV/0!</v>
      </c>
      <c r="W20" s="613"/>
    </row>
    <row r="21" spans="1:23" s="20" customFormat="1" ht="24">
      <c r="A21" s="267">
        <f t="shared" si="7"/>
        <v>10</v>
      </c>
      <c r="B21" s="225" t="s">
        <v>254</v>
      </c>
      <c r="C21" s="107">
        <v>209283.27</v>
      </c>
      <c r="D21" s="107">
        <v>464.89</v>
      </c>
      <c r="E21" s="107">
        <v>312703.53</v>
      </c>
      <c r="F21" s="107">
        <v>955.73</v>
      </c>
      <c r="G21" s="21">
        <f t="shared" si="8"/>
        <v>523407.42000000004</v>
      </c>
      <c r="H21" s="275">
        <v>60</v>
      </c>
      <c r="I21" s="80" t="s">
        <v>4</v>
      </c>
      <c r="J21" s="79">
        <f t="shared" si="2"/>
        <v>8723.457</v>
      </c>
      <c r="K21" s="21">
        <v>336714.03</v>
      </c>
      <c r="L21" s="21">
        <v>12130.51</v>
      </c>
      <c r="M21" s="21">
        <v>25917.97</v>
      </c>
      <c r="N21" s="21">
        <v>1043.68</v>
      </c>
      <c r="O21" s="21">
        <f t="shared" si="3"/>
        <v>375806.19</v>
      </c>
      <c r="P21" s="279">
        <v>43</v>
      </c>
      <c r="Q21" s="80" t="s">
        <v>4</v>
      </c>
      <c r="R21" s="79">
        <f t="shared" si="9"/>
        <v>8739.678837209301</v>
      </c>
      <c r="S21" s="665">
        <f t="shared" si="4"/>
        <v>-28.20006449278079</v>
      </c>
      <c r="T21" s="665">
        <f t="shared" si="5"/>
        <v>-28.333333333333332</v>
      </c>
      <c r="U21" s="665">
        <f t="shared" si="6"/>
        <v>0.18595652170121496</v>
      </c>
      <c r="V21" s="141"/>
      <c r="W21" s="613"/>
    </row>
    <row r="22" spans="1:23" s="20" customFormat="1" ht="24">
      <c r="A22" s="267">
        <f t="shared" si="7"/>
        <v>11</v>
      </c>
      <c r="B22" s="225" t="s">
        <v>255</v>
      </c>
      <c r="C22" s="107">
        <v>305204.77</v>
      </c>
      <c r="D22" s="107">
        <v>677.97</v>
      </c>
      <c r="E22" s="107">
        <v>456025.98</v>
      </c>
      <c r="F22" s="107">
        <v>1393.77</v>
      </c>
      <c r="G22" s="21">
        <f t="shared" si="8"/>
        <v>763302.49</v>
      </c>
      <c r="H22" s="275">
        <v>600</v>
      </c>
      <c r="I22" s="80" t="s">
        <v>4</v>
      </c>
      <c r="J22" s="79">
        <f t="shared" si="2"/>
        <v>1272.1708166666667</v>
      </c>
      <c r="K22" s="21">
        <v>491041.3</v>
      </c>
      <c r="L22" s="21">
        <v>17690.34</v>
      </c>
      <c r="M22" s="21">
        <v>37797.04</v>
      </c>
      <c r="N22" s="21">
        <v>1522.01</v>
      </c>
      <c r="O22" s="21">
        <f t="shared" si="3"/>
        <v>548050.6900000001</v>
      </c>
      <c r="P22" s="279">
        <v>800</v>
      </c>
      <c r="Q22" s="80" t="s">
        <v>4</v>
      </c>
      <c r="R22" s="79">
        <f t="shared" si="9"/>
        <v>685.0633625</v>
      </c>
      <c r="S22" s="665">
        <f t="shared" si="4"/>
        <v>-28.20006521922913</v>
      </c>
      <c r="T22" s="665">
        <f t="shared" si="5"/>
        <v>33.333333333333336</v>
      </c>
      <c r="U22" s="665">
        <f t="shared" si="6"/>
        <v>-46.15004891442186</v>
      </c>
      <c r="V22" s="141"/>
      <c r="W22" s="613"/>
    </row>
    <row r="23" spans="1:23" s="20" customFormat="1" ht="24">
      <c r="A23" s="267">
        <f t="shared" si="7"/>
        <v>12</v>
      </c>
      <c r="B23" s="225" t="s">
        <v>256</v>
      </c>
      <c r="C23" s="107">
        <v>203469.84</v>
      </c>
      <c r="D23" s="107">
        <v>451.98</v>
      </c>
      <c r="E23" s="107">
        <v>304017.32</v>
      </c>
      <c r="F23" s="107">
        <v>929.18</v>
      </c>
      <c r="G23" s="21">
        <f t="shared" si="8"/>
        <v>508868.32</v>
      </c>
      <c r="H23" s="275">
        <v>6</v>
      </c>
      <c r="I23" s="80" t="s">
        <v>4</v>
      </c>
      <c r="J23" s="79">
        <f t="shared" si="2"/>
        <v>84811.38666666667</v>
      </c>
      <c r="K23" s="21">
        <v>327360.87</v>
      </c>
      <c r="L23" s="21">
        <v>11793.55</v>
      </c>
      <c r="M23" s="21">
        <v>25198.02</v>
      </c>
      <c r="N23" s="21">
        <v>1014.69</v>
      </c>
      <c r="O23" s="21">
        <f t="shared" si="3"/>
        <v>365367.13</v>
      </c>
      <c r="P23" s="279">
        <v>6</v>
      </c>
      <c r="Q23" s="80" t="s">
        <v>4</v>
      </c>
      <c r="R23" s="79">
        <f t="shared" si="9"/>
        <v>60894.52166666667</v>
      </c>
      <c r="S23" s="665">
        <f t="shared" si="4"/>
        <v>-28.200063623532312</v>
      </c>
      <c r="T23" s="665">
        <f t="shared" si="5"/>
        <v>0</v>
      </c>
      <c r="U23" s="665">
        <f t="shared" si="6"/>
        <v>-28.200063623532316</v>
      </c>
      <c r="V23" s="141"/>
      <c r="W23" s="613"/>
    </row>
    <row r="24" spans="1:23" s="20" customFormat="1" ht="24">
      <c r="A24" s="267">
        <f t="shared" si="7"/>
        <v>13</v>
      </c>
      <c r="B24" s="225" t="s">
        <v>257</v>
      </c>
      <c r="C24" s="107">
        <v>45161903.51</v>
      </c>
      <c r="D24" s="107">
        <v>139316.76</v>
      </c>
      <c r="E24" s="107">
        <v>863473.94</v>
      </c>
      <c r="F24" s="107">
        <v>3229289.02</v>
      </c>
      <c r="G24" s="21">
        <f t="shared" si="8"/>
        <v>49393983.23</v>
      </c>
      <c r="H24" s="275">
        <v>60</v>
      </c>
      <c r="I24" s="80" t="s">
        <v>4</v>
      </c>
      <c r="J24" s="79">
        <f t="shared" si="2"/>
        <v>823233.0538333333</v>
      </c>
      <c r="K24" s="21">
        <v>46227518.29</v>
      </c>
      <c r="L24" s="21">
        <v>136878.99</v>
      </c>
      <c r="M24" s="21">
        <v>653937.69</v>
      </c>
      <c r="N24" s="21">
        <v>4860789.63</v>
      </c>
      <c r="O24" s="21">
        <f>+K24+L24+M24+N24</f>
        <v>51879124.6</v>
      </c>
      <c r="P24" s="279">
        <v>40</v>
      </c>
      <c r="Q24" s="80" t="s">
        <v>4</v>
      </c>
      <c r="R24" s="79">
        <f t="shared" si="9"/>
        <v>1296978.115</v>
      </c>
      <c r="S24" s="665">
        <f t="shared" si="4"/>
        <v>5.031263339156308</v>
      </c>
      <c r="T24" s="665">
        <f t="shared" si="5"/>
        <v>-33.333333333333336</v>
      </c>
      <c r="U24" s="665">
        <f t="shared" si="6"/>
        <v>57.54689500873445</v>
      </c>
      <c r="W24" s="613"/>
    </row>
    <row r="25" spans="1:23" s="568" customFormat="1" ht="24" hidden="1">
      <c r="A25" s="562">
        <f t="shared" si="7"/>
        <v>14</v>
      </c>
      <c r="B25" s="553" t="s">
        <v>317</v>
      </c>
      <c r="C25" s="579">
        <v>0</v>
      </c>
      <c r="D25" s="579">
        <v>0</v>
      </c>
      <c r="E25" s="579">
        <v>0</v>
      </c>
      <c r="F25" s="579">
        <v>0</v>
      </c>
      <c r="G25" s="564">
        <f t="shared" si="8"/>
        <v>0</v>
      </c>
      <c r="H25" s="564">
        <v>0</v>
      </c>
      <c r="I25" s="569" t="s">
        <v>89</v>
      </c>
      <c r="J25" s="566" t="e">
        <f t="shared" si="2"/>
        <v>#DIV/0!</v>
      </c>
      <c r="K25" s="564"/>
      <c r="L25" s="564"/>
      <c r="M25" s="564"/>
      <c r="N25" s="564"/>
      <c r="O25" s="564"/>
      <c r="P25" s="567"/>
      <c r="Q25" s="569" t="s">
        <v>89</v>
      </c>
      <c r="R25" s="580">
        <v>0</v>
      </c>
      <c r="S25" s="665" t="e">
        <f t="shared" si="4"/>
        <v>#DIV/0!</v>
      </c>
      <c r="T25" s="665" t="e">
        <f t="shared" si="5"/>
        <v>#DIV/0!</v>
      </c>
      <c r="U25" s="665" t="e">
        <f t="shared" si="6"/>
        <v>#DIV/0!</v>
      </c>
      <c r="W25" s="618"/>
    </row>
    <row r="26" spans="1:23" s="20" customFormat="1" ht="24">
      <c r="A26" s="267">
        <f t="shared" si="7"/>
        <v>15</v>
      </c>
      <c r="B26" s="225" t="s">
        <v>376</v>
      </c>
      <c r="C26" s="185">
        <v>793532.39</v>
      </c>
      <c r="D26" s="185">
        <v>1762.71</v>
      </c>
      <c r="E26" s="185">
        <v>1185667.55</v>
      </c>
      <c r="F26" s="185">
        <v>3623.8</v>
      </c>
      <c r="G26" s="21">
        <f t="shared" si="8"/>
        <v>1984586.45</v>
      </c>
      <c r="H26" s="21">
        <v>1</v>
      </c>
      <c r="I26" s="80" t="s">
        <v>4</v>
      </c>
      <c r="J26" s="79">
        <f>+G26/H26</f>
        <v>1984586.45</v>
      </c>
      <c r="K26" s="21">
        <v>1276707.37</v>
      </c>
      <c r="L26" s="21">
        <v>45994.87</v>
      </c>
      <c r="M26" s="21">
        <v>98272.29</v>
      </c>
      <c r="N26" s="21">
        <v>3957.26</v>
      </c>
      <c r="O26" s="21">
        <v>1424931.7900000003</v>
      </c>
      <c r="P26" s="279">
        <v>1</v>
      </c>
      <c r="Q26" s="80" t="s">
        <v>4</v>
      </c>
      <c r="R26" s="79">
        <f>+O26/P26</f>
        <v>1424931.7900000003</v>
      </c>
      <c r="S26" s="665">
        <f t="shared" si="4"/>
        <v>-28.200064552491515</v>
      </c>
      <c r="T26" s="665">
        <f t="shared" si="5"/>
        <v>0</v>
      </c>
      <c r="U26" s="665">
        <f t="shared" si="6"/>
        <v>-28.200064552491515</v>
      </c>
      <c r="W26" s="613"/>
    </row>
    <row r="27" spans="1:23" s="20" customFormat="1" ht="24">
      <c r="A27" s="267">
        <f>+A26+1</f>
        <v>16</v>
      </c>
      <c r="B27" s="225" t="s">
        <v>290</v>
      </c>
      <c r="C27" s="107">
        <v>11512630.08</v>
      </c>
      <c r="D27" s="107">
        <v>61984.97</v>
      </c>
      <c r="E27" s="107">
        <v>724862.14</v>
      </c>
      <c r="F27" s="107">
        <v>88286.84</v>
      </c>
      <c r="G27" s="21">
        <f>SUM(C27:F27)</f>
        <v>12387764.030000001</v>
      </c>
      <c r="H27" s="275">
        <v>35</v>
      </c>
      <c r="I27" s="80" t="s">
        <v>4</v>
      </c>
      <c r="J27" s="79">
        <f>+G27/H27</f>
        <v>353936.1151428572</v>
      </c>
      <c r="K27" s="21">
        <v>12165935.19</v>
      </c>
      <c r="L27" s="21">
        <v>92636.34</v>
      </c>
      <c r="M27" s="21">
        <v>914665.87</v>
      </c>
      <c r="N27" s="21">
        <v>93870.39</v>
      </c>
      <c r="O27" s="21">
        <f t="shared" si="3"/>
        <v>13267107.79</v>
      </c>
      <c r="P27" s="279">
        <v>25</v>
      </c>
      <c r="Q27" s="80" t="s">
        <v>4</v>
      </c>
      <c r="R27" s="79">
        <f t="shared" si="9"/>
        <v>530684.3116</v>
      </c>
      <c r="S27" s="665">
        <f t="shared" si="4"/>
        <v>7.098486521622884</v>
      </c>
      <c r="T27" s="665">
        <f t="shared" si="5"/>
        <v>-28.571428571428573</v>
      </c>
      <c r="U27" s="665">
        <f t="shared" si="6"/>
        <v>49.93788113027205</v>
      </c>
      <c r="W27" s="613"/>
    </row>
    <row r="28" spans="1:23" s="20" customFormat="1" ht="24">
      <c r="A28" s="267">
        <f t="shared" si="7"/>
        <v>17</v>
      </c>
      <c r="B28" s="225" t="s">
        <v>291</v>
      </c>
      <c r="C28" s="107">
        <v>21916883.95</v>
      </c>
      <c r="D28" s="107">
        <v>61984.97</v>
      </c>
      <c r="E28" s="107">
        <v>632948.28</v>
      </c>
      <c r="F28" s="107">
        <v>260280.97</v>
      </c>
      <c r="G28" s="21">
        <f t="shared" si="8"/>
        <v>22872098.169999998</v>
      </c>
      <c r="H28" s="275">
        <v>68</v>
      </c>
      <c r="I28" s="80" t="s">
        <v>4</v>
      </c>
      <c r="J28" s="79">
        <f t="shared" si="2"/>
        <v>336354.38485294115</v>
      </c>
      <c r="K28" s="21">
        <v>24299622.03</v>
      </c>
      <c r="L28" s="21">
        <v>78382.05</v>
      </c>
      <c r="M28" s="21">
        <v>561514.98</v>
      </c>
      <c r="N28" s="21">
        <v>235946.69</v>
      </c>
      <c r="O28" s="21">
        <f t="shared" si="3"/>
        <v>25175465.750000004</v>
      </c>
      <c r="P28" s="279">
        <v>73</v>
      </c>
      <c r="Q28" s="80" t="s">
        <v>4</v>
      </c>
      <c r="R28" s="79">
        <f t="shared" si="9"/>
        <v>344869.3938356165</v>
      </c>
      <c r="S28" s="665">
        <f t="shared" si="4"/>
        <v>10.07064399111927</v>
      </c>
      <c r="T28" s="665">
        <f t="shared" si="5"/>
        <v>7.352941176470588</v>
      </c>
      <c r="U28" s="665">
        <f t="shared" si="6"/>
        <v>2.5315587862480835</v>
      </c>
      <c r="W28" s="613"/>
    </row>
    <row r="29" spans="1:23" s="568" customFormat="1" ht="48" hidden="1">
      <c r="A29" s="562">
        <f t="shared" si="7"/>
        <v>18</v>
      </c>
      <c r="B29" s="624" t="s">
        <v>351</v>
      </c>
      <c r="C29" s="579">
        <v>0</v>
      </c>
      <c r="D29" s="579">
        <v>0</v>
      </c>
      <c r="E29" s="579">
        <v>0</v>
      </c>
      <c r="F29" s="579">
        <v>0</v>
      </c>
      <c r="G29" s="564">
        <f t="shared" si="8"/>
        <v>0</v>
      </c>
      <c r="H29" s="565">
        <v>0</v>
      </c>
      <c r="I29" s="625" t="s">
        <v>4</v>
      </c>
      <c r="J29" s="626" t="e">
        <f t="shared" si="2"/>
        <v>#DIV/0!</v>
      </c>
      <c r="K29" s="564"/>
      <c r="L29" s="564"/>
      <c r="M29" s="564"/>
      <c r="N29" s="564"/>
      <c r="O29" s="564">
        <f t="shared" si="3"/>
        <v>0</v>
      </c>
      <c r="P29" s="567"/>
      <c r="Q29" s="539" t="s">
        <v>4</v>
      </c>
      <c r="R29" s="627">
        <v>0</v>
      </c>
      <c r="S29" s="665" t="e">
        <f t="shared" si="4"/>
        <v>#DIV/0!</v>
      </c>
      <c r="T29" s="665" t="e">
        <f t="shared" si="5"/>
        <v>#DIV/0!</v>
      </c>
      <c r="U29" s="665" t="e">
        <f t="shared" si="6"/>
        <v>#DIV/0!</v>
      </c>
      <c r="W29" s="618"/>
    </row>
    <row r="30" spans="1:23" s="568" customFormat="1" ht="24" hidden="1">
      <c r="A30" s="562">
        <f t="shared" si="7"/>
        <v>19</v>
      </c>
      <c r="B30" s="553" t="s">
        <v>260</v>
      </c>
      <c r="C30" s="544"/>
      <c r="D30" s="544"/>
      <c r="E30" s="544"/>
      <c r="F30" s="544"/>
      <c r="G30" s="564">
        <f t="shared" si="8"/>
        <v>0</v>
      </c>
      <c r="H30" s="565"/>
      <c r="I30" s="569" t="s">
        <v>4</v>
      </c>
      <c r="J30" s="566"/>
      <c r="K30" s="564"/>
      <c r="L30" s="564"/>
      <c r="M30" s="564"/>
      <c r="N30" s="564"/>
      <c r="O30" s="564">
        <f t="shared" si="3"/>
        <v>0</v>
      </c>
      <c r="P30" s="567"/>
      <c r="Q30" s="569" t="s">
        <v>4</v>
      </c>
      <c r="R30" s="566"/>
      <c r="S30" s="665" t="e">
        <f t="shared" si="4"/>
        <v>#DIV/0!</v>
      </c>
      <c r="T30" s="665" t="e">
        <f t="shared" si="5"/>
        <v>#DIV/0!</v>
      </c>
      <c r="U30" s="665" t="e">
        <f t="shared" si="6"/>
        <v>#DIV/0!</v>
      </c>
      <c r="W30" s="618"/>
    </row>
    <row r="31" spans="1:23" s="568" customFormat="1" ht="24" hidden="1">
      <c r="A31" s="562">
        <f t="shared" si="7"/>
        <v>20</v>
      </c>
      <c r="B31" s="553" t="s">
        <v>312</v>
      </c>
      <c r="C31" s="563"/>
      <c r="D31" s="563"/>
      <c r="E31" s="563"/>
      <c r="F31" s="563"/>
      <c r="G31" s="564">
        <f t="shared" si="8"/>
        <v>0</v>
      </c>
      <c r="H31" s="565"/>
      <c r="I31" s="569" t="s">
        <v>4</v>
      </c>
      <c r="J31" s="566"/>
      <c r="K31" s="564"/>
      <c r="L31" s="564"/>
      <c r="M31" s="564"/>
      <c r="N31" s="564"/>
      <c r="O31" s="564">
        <f t="shared" si="3"/>
        <v>0</v>
      </c>
      <c r="P31" s="567"/>
      <c r="Q31" s="569" t="s">
        <v>4</v>
      </c>
      <c r="R31" s="566"/>
      <c r="S31" s="665" t="e">
        <f t="shared" si="4"/>
        <v>#DIV/0!</v>
      </c>
      <c r="T31" s="665" t="e">
        <f t="shared" si="5"/>
        <v>#DIV/0!</v>
      </c>
      <c r="U31" s="665" t="e">
        <f t="shared" si="6"/>
        <v>#DIV/0!</v>
      </c>
      <c r="W31" s="618"/>
    </row>
    <row r="32" spans="1:23" s="20" customFormat="1" ht="24">
      <c r="A32" s="267">
        <f>+A28+1</f>
        <v>18</v>
      </c>
      <c r="B32" s="225" t="s">
        <v>292</v>
      </c>
      <c r="C32" s="107">
        <v>4345392.37</v>
      </c>
      <c r="D32" s="107">
        <v>10653.85</v>
      </c>
      <c r="E32" s="107">
        <v>66149.82</v>
      </c>
      <c r="F32" s="107">
        <v>15372.78</v>
      </c>
      <c r="G32" s="21">
        <f t="shared" si="8"/>
        <v>4437568.82</v>
      </c>
      <c r="H32" s="275">
        <v>8</v>
      </c>
      <c r="I32" s="80" t="s">
        <v>4</v>
      </c>
      <c r="J32" s="79">
        <f t="shared" si="2"/>
        <v>554696.1025</v>
      </c>
      <c r="K32" s="21">
        <v>3744883.44</v>
      </c>
      <c r="L32" s="21">
        <v>13361.15</v>
      </c>
      <c r="M32" s="21">
        <v>51126.22</v>
      </c>
      <c r="N32" s="21">
        <v>13636.74</v>
      </c>
      <c r="O32" s="21">
        <f t="shared" si="3"/>
        <v>3823007.5500000003</v>
      </c>
      <c r="P32" s="279">
        <v>8</v>
      </c>
      <c r="Q32" s="80" t="s">
        <v>4</v>
      </c>
      <c r="R32" s="79">
        <f aca="true" t="shared" si="10" ref="R32:R40">+O32/P32</f>
        <v>477875.94375000003</v>
      </c>
      <c r="S32" s="665">
        <f t="shared" si="4"/>
        <v>-13.84905327507687</v>
      </c>
      <c r="T32" s="665">
        <f t="shared" si="5"/>
        <v>0</v>
      </c>
      <c r="U32" s="665">
        <f t="shared" si="6"/>
        <v>-13.84905327507687</v>
      </c>
      <c r="W32" s="613"/>
    </row>
    <row r="33" spans="1:23" s="20" customFormat="1" ht="24">
      <c r="A33" s="267">
        <f>+A32+1</f>
        <v>19</v>
      </c>
      <c r="B33" s="225" t="s">
        <v>293</v>
      </c>
      <c r="C33" s="107">
        <v>1309411.57</v>
      </c>
      <c r="D33" s="107">
        <v>3210.36</v>
      </c>
      <c r="E33" s="107">
        <v>19933.15</v>
      </c>
      <c r="F33" s="107">
        <v>4632.33</v>
      </c>
      <c r="G33" s="21">
        <f t="shared" si="8"/>
        <v>1337187.4100000001</v>
      </c>
      <c r="H33" s="275">
        <v>8</v>
      </c>
      <c r="I33" s="80" t="s">
        <v>4</v>
      </c>
      <c r="J33" s="79">
        <f t="shared" si="2"/>
        <v>167148.42625000002</v>
      </c>
      <c r="K33" s="21">
        <v>1128458.21</v>
      </c>
      <c r="L33" s="21">
        <v>4026.16</v>
      </c>
      <c r="M33" s="21">
        <v>15406.02</v>
      </c>
      <c r="N33" s="21">
        <v>4109.24</v>
      </c>
      <c r="O33" s="21">
        <f t="shared" si="3"/>
        <v>1151999.63</v>
      </c>
      <c r="P33" s="279">
        <v>9</v>
      </c>
      <c r="Q33" s="80" t="s">
        <v>4</v>
      </c>
      <c r="R33" s="79">
        <f t="shared" si="10"/>
        <v>127999.95888888888</v>
      </c>
      <c r="S33" s="665">
        <f t="shared" si="4"/>
        <v>-13.84905201881913</v>
      </c>
      <c r="T33" s="665">
        <f t="shared" si="5"/>
        <v>12.5</v>
      </c>
      <c r="U33" s="665">
        <f t="shared" si="6"/>
        <v>-23.42137957228367</v>
      </c>
      <c r="W33" s="613"/>
    </row>
    <row r="34" spans="1:23" s="20" customFormat="1" ht="24">
      <c r="A34" s="267">
        <f t="shared" si="7"/>
        <v>20</v>
      </c>
      <c r="B34" s="225" t="s">
        <v>262</v>
      </c>
      <c r="C34" s="107">
        <v>3699956.76</v>
      </c>
      <c r="D34" s="107">
        <v>9071.4</v>
      </c>
      <c r="E34" s="107">
        <v>56324.36</v>
      </c>
      <c r="F34" s="107">
        <v>13089.41</v>
      </c>
      <c r="G34" s="21">
        <f t="shared" si="8"/>
        <v>3778441.9299999997</v>
      </c>
      <c r="H34" s="275">
        <v>8</v>
      </c>
      <c r="I34" s="80" t="s">
        <v>4</v>
      </c>
      <c r="J34" s="79">
        <f t="shared" si="2"/>
        <v>472305.24124999996</v>
      </c>
      <c r="K34" s="21">
        <v>3188643.42</v>
      </c>
      <c r="L34" s="21">
        <v>11376.56</v>
      </c>
      <c r="M34" s="21">
        <v>43532.27</v>
      </c>
      <c r="N34" s="21">
        <v>11611.24</v>
      </c>
      <c r="O34" s="21">
        <f t="shared" si="3"/>
        <v>3255163.49</v>
      </c>
      <c r="P34" s="279">
        <v>9</v>
      </c>
      <c r="Q34" s="80" t="s">
        <v>4</v>
      </c>
      <c r="R34" s="79">
        <f t="shared" si="10"/>
        <v>361684.83222222223</v>
      </c>
      <c r="S34" s="665">
        <f t="shared" si="4"/>
        <v>-13.84905338481673</v>
      </c>
      <c r="T34" s="665">
        <f t="shared" si="5"/>
        <v>12.5</v>
      </c>
      <c r="U34" s="665">
        <f t="shared" si="6"/>
        <v>-23.42138078650376</v>
      </c>
      <c r="W34" s="613"/>
    </row>
    <row r="35" spans="1:23" s="20" customFormat="1" ht="72">
      <c r="A35" s="267">
        <f t="shared" si="7"/>
        <v>21</v>
      </c>
      <c r="B35" s="232" t="s">
        <v>283</v>
      </c>
      <c r="C35" s="107">
        <v>11587713</v>
      </c>
      <c r="D35" s="107">
        <v>28410.28</v>
      </c>
      <c r="E35" s="107">
        <v>176399.51</v>
      </c>
      <c r="F35" s="107">
        <v>40994.08</v>
      </c>
      <c r="G35" s="21">
        <f t="shared" si="8"/>
        <v>11833516.87</v>
      </c>
      <c r="H35" s="275">
        <v>15</v>
      </c>
      <c r="I35" s="223" t="s">
        <v>4</v>
      </c>
      <c r="J35" s="286">
        <f t="shared" si="2"/>
        <v>788901.1246666666</v>
      </c>
      <c r="K35" s="21">
        <v>9986355.84</v>
      </c>
      <c r="L35" s="21">
        <v>35629.71</v>
      </c>
      <c r="M35" s="21">
        <v>136336.59</v>
      </c>
      <c r="N35" s="21">
        <v>36364.66</v>
      </c>
      <c r="O35" s="21">
        <f t="shared" si="3"/>
        <v>10194686.8</v>
      </c>
      <c r="P35" s="279">
        <v>10</v>
      </c>
      <c r="Q35" s="223" t="s">
        <v>4</v>
      </c>
      <c r="R35" s="286">
        <f t="shared" si="10"/>
        <v>1019468.68</v>
      </c>
      <c r="S35" s="665">
        <f t="shared" si="4"/>
        <v>-13.849053396414337</v>
      </c>
      <c r="T35" s="665">
        <f t="shared" si="5"/>
        <v>-33.333333333333336</v>
      </c>
      <c r="U35" s="665">
        <f t="shared" si="6"/>
        <v>29.22641990537849</v>
      </c>
      <c r="W35" s="613"/>
    </row>
    <row r="36" spans="1:23" s="20" customFormat="1" ht="48">
      <c r="A36" s="267">
        <f t="shared" si="7"/>
        <v>22</v>
      </c>
      <c r="B36" s="262" t="s">
        <v>377</v>
      </c>
      <c r="C36" s="185">
        <v>1433400.1</v>
      </c>
      <c r="D36" s="185">
        <v>3514.35</v>
      </c>
      <c r="E36" s="185">
        <v>21820.62</v>
      </c>
      <c r="F36" s="185">
        <v>5070.97</v>
      </c>
      <c r="G36" s="21">
        <f t="shared" si="8"/>
        <v>1463806.0400000003</v>
      </c>
      <c r="H36" s="279">
        <v>1</v>
      </c>
      <c r="I36" s="304" t="s">
        <v>4</v>
      </c>
      <c r="J36" s="79">
        <f t="shared" si="2"/>
        <v>1463806.0400000003</v>
      </c>
      <c r="K36" s="21">
        <v>1235312.22</v>
      </c>
      <c r="L36" s="21">
        <v>4407.39</v>
      </c>
      <c r="M36" s="21">
        <v>16864.84</v>
      </c>
      <c r="N36" s="21">
        <v>4498.31</v>
      </c>
      <c r="O36" s="21">
        <f>+K36+L36+M36+N36</f>
        <v>1261082.76</v>
      </c>
      <c r="P36" s="279">
        <v>1</v>
      </c>
      <c r="Q36" s="80" t="s">
        <v>4</v>
      </c>
      <c r="R36" s="286">
        <f t="shared" si="10"/>
        <v>1261082.76</v>
      </c>
      <c r="S36" s="665">
        <f t="shared" si="4"/>
        <v>-13.849053389614394</v>
      </c>
      <c r="T36" s="665">
        <f t="shared" si="5"/>
        <v>0</v>
      </c>
      <c r="U36" s="665">
        <f t="shared" si="6"/>
        <v>-13.849053389614394</v>
      </c>
      <c r="W36" s="613"/>
    </row>
    <row r="37" spans="1:23" s="20" customFormat="1" ht="24">
      <c r="A37" s="267">
        <f t="shared" si="7"/>
        <v>23</v>
      </c>
      <c r="B37" s="262" t="s">
        <v>335</v>
      </c>
      <c r="C37" s="185">
        <v>799552.19</v>
      </c>
      <c r="D37" s="185">
        <v>1960.32</v>
      </c>
      <c r="E37" s="185">
        <v>12171.57</v>
      </c>
      <c r="F37" s="185">
        <v>2828.58</v>
      </c>
      <c r="G37" s="21">
        <f t="shared" si="8"/>
        <v>816512.6599999998</v>
      </c>
      <c r="H37" s="275">
        <v>1</v>
      </c>
      <c r="I37" s="304" t="s">
        <v>4</v>
      </c>
      <c r="J37" s="79">
        <f t="shared" si="2"/>
        <v>816512.6599999998</v>
      </c>
      <c r="K37" s="21">
        <v>689058.56</v>
      </c>
      <c r="L37" s="21">
        <v>2458.45</v>
      </c>
      <c r="M37" s="21">
        <v>9407.22</v>
      </c>
      <c r="N37" s="21">
        <v>2509.16</v>
      </c>
      <c r="O37" s="21">
        <f t="shared" si="3"/>
        <v>703433.39</v>
      </c>
      <c r="P37" s="279">
        <v>1</v>
      </c>
      <c r="Q37" s="80" t="s">
        <v>4</v>
      </c>
      <c r="R37" s="79">
        <f t="shared" si="10"/>
        <v>703433.39</v>
      </c>
      <c r="S37" s="665">
        <f t="shared" si="4"/>
        <v>-13.849052873227931</v>
      </c>
      <c r="T37" s="665">
        <f t="shared" si="5"/>
        <v>0</v>
      </c>
      <c r="U37" s="665">
        <f t="shared" si="6"/>
        <v>-13.849052873227931</v>
      </c>
      <c r="W37" s="613"/>
    </row>
    <row r="38" spans="1:23" s="20" customFormat="1" ht="24">
      <c r="A38" s="267">
        <f t="shared" si="7"/>
        <v>24</v>
      </c>
      <c r="B38" s="225" t="s">
        <v>263</v>
      </c>
      <c r="C38" s="107">
        <v>24447111.38</v>
      </c>
      <c r="D38" s="107">
        <v>38742.61</v>
      </c>
      <c r="E38" s="107">
        <v>1367879.99</v>
      </c>
      <c r="F38" s="107">
        <v>2305000.01</v>
      </c>
      <c r="G38" s="21">
        <f t="shared" si="8"/>
        <v>28158733.989999995</v>
      </c>
      <c r="H38" s="275">
        <v>2365</v>
      </c>
      <c r="I38" s="80" t="s">
        <v>6</v>
      </c>
      <c r="J38" s="79">
        <f t="shared" si="2"/>
        <v>11906.441433403803</v>
      </c>
      <c r="K38" s="21">
        <v>25153522.84</v>
      </c>
      <c r="L38" s="21">
        <v>57011.63</v>
      </c>
      <c r="M38" s="21">
        <v>1656401.41</v>
      </c>
      <c r="N38" s="21">
        <v>1093052.44</v>
      </c>
      <c r="O38" s="21">
        <f t="shared" si="3"/>
        <v>27959988.32</v>
      </c>
      <c r="P38" s="279">
        <v>2329</v>
      </c>
      <c r="Q38" s="80" t="s">
        <v>6</v>
      </c>
      <c r="R38" s="79">
        <f t="shared" si="10"/>
        <v>12005.147410905969</v>
      </c>
      <c r="S38" s="665">
        <f t="shared" si="4"/>
        <v>-0.7058047072378142</v>
      </c>
      <c r="T38" s="665">
        <f t="shared" si="5"/>
        <v>-1.522198731501057</v>
      </c>
      <c r="U38" s="665">
        <f t="shared" si="6"/>
        <v>0.8290132534918809</v>
      </c>
      <c r="W38" s="613"/>
    </row>
    <row r="39" spans="1:23" s="568" customFormat="1" ht="24" hidden="1">
      <c r="A39" s="562">
        <f t="shared" si="7"/>
        <v>25</v>
      </c>
      <c r="B39" s="553" t="s">
        <v>318</v>
      </c>
      <c r="C39" s="579"/>
      <c r="D39" s="579"/>
      <c r="E39" s="579"/>
      <c r="F39" s="579"/>
      <c r="G39" s="564">
        <f t="shared" si="8"/>
        <v>0</v>
      </c>
      <c r="H39" s="564"/>
      <c r="I39" s="569" t="s">
        <v>4</v>
      </c>
      <c r="J39" s="580">
        <v>0</v>
      </c>
      <c r="K39" s="564"/>
      <c r="L39" s="564"/>
      <c r="M39" s="564"/>
      <c r="N39" s="564"/>
      <c r="O39" s="564">
        <f t="shared" si="3"/>
        <v>0</v>
      </c>
      <c r="P39" s="567"/>
      <c r="Q39" s="569" t="s">
        <v>4</v>
      </c>
      <c r="R39" s="566" t="e">
        <f t="shared" si="10"/>
        <v>#DIV/0!</v>
      </c>
      <c r="S39" s="665" t="e">
        <f t="shared" si="4"/>
        <v>#DIV/0!</v>
      </c>
      <c r="T39" s="665" t="e">
        <f t="shared" si="5"/>
        <v>#DIV/0!</v>
      </c>
      <c r="U39" s="665" t="e">
        <f t="shared" si="6"/>
        <v>#DIV/0!</v>
      </c>
      <c r="W39" s="613"/>
    </row>
    <row r="40" spans="1:23" s="20" customFormat="1" ht="24">
      <c r="A40" s="267">
        <f t="shared" si="7"/>
        <v>26</v>
      </c>
      <c r="B40" s="225" t="s">
        <v>264</v>
      </c>
      <c r="C40" s="107">
        <v>42405738.89</v>
      </c>
      <c r="D40" s="107">
        <v>495883.78</v>
      </c>
      <c r="E40" s="107">
        <v>5418938.04</v>
      </c>
      <c r="F40" s="107">
        <v>741926.2</v>
      </c>
      <c r="G40" s="21">
        <f t="shared" si="8"/>
        <v>49062486.910000004</v>
      </c>
      <c r="H40" s="275">
        <v>1495</v>
      </c>
      <c r="I40" s="80" t="s">
        <v>97</v>
      </c>
      <c r="J40" s="79">
        <f t="shared" si="2"/>
        <v>32817.71699665552</v>
      </c>
      <c r="K40" s="21">
        <v>42611467.38</v>
      </c>
      <c r="L40" s="21">
        <v>698333.84</v>
      </c>
      <c r="M40" s="21">
        <v>5964467.04</v>
      </c>
      <c r="N40" s="21">
        <v>758467.5</v>
      </c>
      <c r="O40" s="21">
        <f t="shared" si="3"/>
        <v>50032735.760000005</v>
      </c>
      <c r="P40" s="279">
        <v>1642</v>
      </c>
      <c r="Q40" s="80" t="s">
        <v>97</v>
      </c>
      <c r="R40" s="79">
        <f t="shared" si="10"/>
        <v>30470.606431181488</v>
      </c>
      <c r="S40" s="665">
        <f t="shared" si="4"/>
        <v>1.977577801508149</v>
      </c>
      <c r="T40" s="665">
        <f t="shared" si="5"/>
        <v>9.832775919732441</v>
      </c>
      <c r="U40" s="665">
        <f t="shared" si="6"/>
        <v>-7.151961745886317</v>
      </c>
      <c r="W40" s="613"/>
    </row>
    <row r="41" spans="1:23" ht="24">
      <c r="A41" s="267"/>
      <c r="B41" s="227" t="s">
        <v>16</v>
      </c>
      <c r="C41" s="81"/>
      <c r="D41" s="81"/>
      <c r="E41" s="81"/>
      <c r="F41" s="81"/>
      <c r="G41" s="21">
        <f t="shared" si="8"/>
        <v>0</v>
      </c>
      <c r="H41" s="272"/>
      <c r="I41" s="82"/>
      <c r="J41" s="79"/>
      <c r="K41" s="186"/>
      <c r="L41" s="186"/>
      <c r="M41" s="186"/>
      <c r="N41" s="186"/>
      <c r="O41" s="21"/>
      <c r="P41" s="291"/>
      <c r="Q41" s="82"/>
      <c r="R41" s="79"/>
      <c r="S41" s="665"/>
      <c r="T41" s="665"/>
      <c r="U41" s="665"/>
      <c r="W41" s="613"/>
    </row>
    <row r="42" spans="1:23" ht="24">
      <c r="A42" s="267">
        <v>33</v>
      </c>
      <c r="B42" s="225" t="s">
        <v>265</v>
      </c>
      <c r="C42" s="22">
        <v>3648352.26</v>
      </c>
      <c r="D42" s="22">
        <v>49071.44</v>
      </c>
      <c r="E42" s="22">
        <v>342542.75</v>
      </c>
      <c r="F42" s="22">
        <v>69893.75</v>
      </c>
      <c r="G42" s="21">
        <f t="shared" si="8"/>
        <v>4109860.1999999997</v>
      </c>
      <c r="H42" s="276">
        <v>16990</v>
      </c>
      <c r="I42" s="134" t="s">
        <v>7</v>
      </c>
      <c r="J42" s="79">
        <f t="shared" si="2"/>
        <v>241.89877575044142</v>
      </c>
      <c r="K42" s="187">
        <v>3741270.49</v>
      </c>
      <c r="L42" s="187">
        <v>67694.59</v>
      </c>
      <c r="M42" s="187">
        <v>402370.98</v>
      </c>
      <c r="N42" s="187">
        <v>68087.25</v>
      </c>
      <c r="O42" s="21">
        <f t="shared" si="3"/>
        <v>4279423.3100000005</v>
      </c>
      <c r="P42" s="292">
        <v>16996</v>
      </c>
      <c r="Q42" s="134" t="s">
        <v>7</v>
      </c>
      <c r="R42" s="79">
        <f>+O42/P42</f>
        <v>251.79002765356557</v>
      </c>
      <c r="S42" s="665">
        <f t="shared" si="4"/>
        <v>4.125763450542693</v>
      </c>
      <c r="T42" s="665">
        <f t="shared" si="5"/>
        <v>0.03531489111241907</v>
      </c>
      <c r="U42" s="665">
        <f t="shared" si="6"/>
        <v>4.089004531932241</v>
      </c>
      <c r="W42" s="613"/>
    </row>
    <row r="43" spans="1:23" ht="24">
      <c r="A43" s="267">
        <f aca="true" t="shared" si="11" ref="A43:A64">+A42+1</f>
        <v>34</v>
      </c>
      <c r="B43" s="225" t="s">
        <v>266</v>
      </c>
      <c r="C43" s="22">
        <v>3648352.25</v>
      </c>
      <c r="D43" s="22">
        <v>49071.43</v>
      </c>
      <c r="E43" s="22">
        <v>342542.75</v>
      </c>
      <c r="F43" s="22">
        <v>69893.75</v>
      </c>
      <c r="G43" s="21">
        <f t="shared" si="8"/>
        <v>4109860.18</v>
      </c>
      <c r="H43" s="276">
        <v>1584</v>
      </c>
      <c r="I43" s="80" t="s">
        <v>4</v>
      </c>
      <c r="J43" s="79">
        <f t="shared" si="2"/>
        <v>2594.6086994949496</v>
      </c>
      <c r="K43" s="187">
        <v>3741270.49</v>
      </c>
      <c r="L43" s="187">
        <v>67694.59</v>
      </c>
      <c r="M43" s="187">
        <v>402370.98</v>
      </c>
      <c r="N43" s="187">
        <v>68087.24</v>
      </c>
      <c r="O43" s="21">
        <f t="shared" si="3"/>
        <v>4279423.300000001</v>
      </c>
      <c r="P43" s="292">
        <v>1341</v>
      </c>
      <c r="Q43" s="80" t="s">
        <v>4</v>
      </c>
      <c r="R43" s="79">
        <f aca="true" t="shared" si="12" ref="R43:R51">+O43/P43</f>
        <v>3191.2179716629385</v>
      </c>
      <c r="S43" s="665">
        <f t="shared" si="4"/>
        <v>4.125763713937358</v>
      </c>
      <c r="T43" s="665">
        <f t="shared" si="5"/>
        <v>-15.340909090909092</v>
      </c>
      <c r="U43" s="665">
        <f t="shared" si="6"/>
        <v>22.99419069565754</v>
      </c>
      <c r="W43" s="613"/>
    </row>
    <row r="44" spans="1:23" s="25" customFormat="1" ht="24">
      <c r="A44" s="267">
        <f t="shared" si="11"/>
        <v>35</v>
      </c>
      <c r="B44" s="225" t="s">
        <v>267</v>
      </c>
      <c r="C44" s="22">
        <v>1609968.38</v>
      </c>
      <c r="D44" s="22">
        <v>46328.74</v>
      </c>
      <c r="E44" s="22">
        <v>90792.85</v>
      </c>
      <c r="F44" s="22">
        <v>22738.28</v>
      </c>
      <c r="G44" s="21">
        <f t="shared" si="8"/>
        <v>1769828.25</v>
      </c>
      <c r="H44" s="276">
        <v>450</v>
      </c>
      <c r="I44" s="80" t="s">
        <v>6</v>
      </c>
      <c r="J44" s="79">
        <f t="shared" si="2"/>
        <v>3932.951666666667</v>
      </c>
      <c r="K44" s="187">
        <v>1773633.32</v>
      </c>
      <c r="L44" s="187">
        <v>88051.22</v>
      </c>
      <c r="M44" s="187">
        <v>124544.87</v>
      </c>
      <c r="N44" s="187">
        <v>25292.36</v>
      </c>
      <c r="O44" s="21">
        <f t="shared" si="3"/>
        <v>2011521.7700000003</v>
      </c>
      <c r="P44" s="292">
        <v>443</v>
      </c>
      <c r="Q44" s="80" t="s">
        <v>6</v>
      </c>
      <c r="R44" s="79">
        <f t="shared" si="12"/>
        <v>4540.681196388263</v>
      </c>
      <c r="S44" s="665">
        <f t="shared" si="4"/>
        <v>13.656326256516714</v>
      </c>
      <c r="T44" s="665">
        <f t="shared" si="5"/>
        <v>-1.5555555555555556</v>
      </c>
      <c r="U44" s="665">
        <f t="shared" si="6"/>
        <v>15.452250147703214</v>
      </c>
      <c r="W44" s="613"/>
    </row>
    <row r="45" spans="1:23" s="25" customFormat="1" ht="24">
      <c r="A45" s="267">
        <f t="shared" si="11"/>
        <v>36</v>
      </c>
      <c r="B45" s="225" t="s">
        <v>268</v>
      </c>
      <c r="C45" s="22">
        <v>3488264.82</v>
      </c>
      <c r="D45" s="22">
        <v>100378.94</v>
      </c>
      <c r="E45" s="22">
        <v>196717.83</v>
      </c>
      <c r="F45" s="22">
        <v>49266.27</v>
      </c>
      <c r="G45" s="21">
        <f t="shared" si="8"/>
        <v>3834627.86</v>
      </c>
      <c r="H45" s="276">
        <v>10980</v>
      </c>
      <c r="I45" s="80" t="s">
        <v>42</v>
      </c>
      <c r="J45" s="79">
        <f t="shared" si="2"/>
        <v>349.23751001821495</v>
      </c>
      <c r="K45" s="187">
        <v>3842872.2</v>
      </c>
      <c r="L45" s="187">
        <v>190777.63</v>
      </c>
      <c r="M45" s="187">
        <v>269847.21</v>
      </c>
      <c r="N45" s="187">
        <v>54800.12</v>
      </c>
      <c r="O45" s="21">
        <f t="shared" si="3"/>
        <v>4358297.16</v>
      </c>
      <c r="P45" s="292">
        <v>11457</v>
      </c>
      <c r="Q45" s="80" t="s">
        <v>42</v>
      </c>
      <c r="R45" s="79">
        <f t="shared" si="12"/>
        <v>380.4047446975648</v>
      </c>
      <c r="S45" s="665">
        <f t="shared" si="4"/>
        <v>13.656326483790798</v>
      </c>
      <c r="T45" s="665">
        <f t="shared" si="5"/>
        <v>4.344262295081967</v>
      </c>
      <c r="U45" s="665">
        <f t="shared" si="6"/>
        <v>8.924366308110573</v>
      </c>
      <c r="W45" s="613"/>
    </row>
    <row r="46" spans="1:23" s="25" customFormat="1" ht="24">
      <c r="A46" s="267">
        <f t="shared" si="11"/>
        <v>37</v>
      </c>
      <c r="B46" s="225" t="s">
        <v>331</v>
      </c>
      <c r="C46" s="185">
        <v>268328.06</v>
      </c>
      <c r="D46" s="185">
        <v>7721.46</v>
      </c>
      <c r="E46" s="185">
        <v>15132.14</v>
      </c>
      <c r="F46" s="185">
        <v>3789.7</v>
      </c>
      <c r="G46" s="21">
        <f t="shared" si="8"/>
        <v>294971.36000000004</v>
      </c>
      <c r="H46" s="21">
        <v>1</v>
      </c>
      <c r="I46" s="80" t="s">
        <v>326</v>
      </c>
      <c r="J46" s="79">
        <f t="shared" si="2"/>
        <v>294971.36000000004</v>
      </c>
      <c r="K46" s="187">
        <v>295605.55</v>
      </c>
      <c r="L46" s="187">
        <v>14675.2</v>
      </c>
      <c r="M46" s="187">
        <v>20757.48</v>
      </c>
      <c r="N46" s="187">
        <v>4215.39</v>
      </c>
      <c r="O46" s="21">
        <f t="shared" si="3"/>
        <v>335253.62</v>
      </c>
      <c r="P46" s="292">
        <v>2</v>
      </c>
      <c r="Q46" s="80" t="s">
        <v>326</v>
      </c>
      <c r="R46" s="79">
        <f t="shared" si="12"/>
        <v>167626.81</v>
      </c>
      <c r="S46" s="665">
        <f t="shared" si="4"/>
        <v>13.656329211080001</v>
      </c>
      <c r="T46" s="665">
        <f t="shared" si="5"/>
        <v>100</v>
      </c>
      <c r="U46" s="665">
        <f t="shared" si="6"/>
        <v>-43.17183539446</v>
      </c>
      <c r="W46" s="613"/>
    </row>
    <row r="47" spans="1:23" ht="24">
      <c r="A47" s="267">
        <f t="shared" si="11"/>
        <v>38</v>
      </c>
      <c r="B47" s="225" t="s">
        <v>269</v>
      </c>
      <c r="C47" s="22">
        <v>2167743.95</v>
      </c>
      <c r="D47" s="22">
        <v>20662.66</v>
      </c>
      <c r="E47" s="22">
        <v>209740.59</v>
      </c>
      <c r="F47" s="22">
        <v>29428.95</v>
      </c>
      <c r="G47" s="21">
        <f t="shared" si="8"/>
        <v>2427576.1500000004</v>
      </c>
      <c r="H47" s="276">
        <v>766</v>
      </c>
      <c r="I47" s="80" t="s">
        <v>8</v>
      </c>
      <c r="J47" s="79">
        <f t="shared" si="2"/>
        <v>3169.1594647519587</v>
      </c>
      <c r="K47" s="187">
        <v>2439790.86</v>
      </c>
      <c r="L47" s="187">
        <v>28502.56</v>
      </c>
      <c r="M47" s="187">
        <v>230510.78</v>
      </c>
      <c r="N47" s="187">
        <v>28668.32</v>
      </c>
      <c r="O47" s="21">
        <f t="shared" si="3"/>
        <v>2727472.5199999996</v>
      </c>
      <c r="P47" s="292">
        <v>684</v>
      </c>
      <c r="Q47" s="80" t="s">
        <v>8</v>
      </c>
      <c r="R47" s="79">
        <f t="shared" si="12"/>
        <v>3987.5329239766074</v>
      </c>
      <c r="S47" s="665">
        <f t="shared" si="4"/>
        <v>12.35373687453632</v>
      </c>
      <c r="T47" s="665">
        <f t="shared" si="5"/>
        <v>-10.704960835509139</v>
      </c>
      <c r="U47" s="665">
        <f t="shared" si="6"/>
        <v>25.823044511542133</v>
      </c>
      <c r="W47" s="613"/>
    </row>
    <row r="48" spans="1:23" ht="48">
      <c r="A48" s="260">
        <f t="shared" si="11"/>
        <v>39</v>
      </c>
      <c r="B48" s="277" t="s">
        <v>270</v>
      </c>
      <c r="C48" s="105">
        <v>11106894.99</v>
      </c>
      <c r="D48" s="105">
        <v>38278.84</v>
      </c>
      <c r="E48" s="105">
        <v>359474.35</v>
      </c>
      <c r="F48" s="105">
        <v>5111327.11</v>
      </c>
      <c r="G48" s="21">
        <f t="shared" si="8"/>
        <v>16615975.29</v>
      </c>
      <c r="H48" s="350">
        <v>967</v>
      </c>
      <c r="I48" s="351" t="s">
        <v>90</v>
      </c>
      <c r="J48" s="286">
        <f t="shared" si="2"/>
        <v>17183.014777662873</v>
      </c>
      <c r="K48" s="188">
        <v>9587440.39</v>
      </c>
      <c r="L48" s="188">
        <v>85673.06</v>
      </c>
      <c r="M48" s="188">
        <v>439138.47</v>
      </c>
      <c r="N48" s="188">
        <v>5125792.27</v>
      </c>
      <c r="O48" s="21">
        <f t="shared" si="3"/>
        <v>15238044.190000001</v>
      </c>
      <c r="P48" s="352">
        <v>860</v>
      </c>
      <c r="Q48" s="351" t="s">
        <v>90</v>
      </c>
      <c r="R48" s="286">
        <f t="shared" si="12"/>
        <v>17718.656034883723</v>
      </c>
      <c r="S48" s="665">
        <f t="shared" si="4"/>
        <v>-8.292809034383186</v>
      </c>
      <c r="T48" s="665">
        <f t="shared" si="5"/>
        <v>-11.065149948293692</v>
      </c>
      <c r="U48" s="665">
        <f t="shared" si="6"/>
        <v>3.1172717020365894</v>
      </c>
      <c r="W48" s="613"/>
    </row>
    <row r="49" spans="1:23" ht="24">
      <c r="A49" s="267">
        <f t="shared" si="11"/>
        <v>40</v>
      </c>
      <c r="B49" s="225" t="s">
        <v>271</v>
      </c>
      <c r="C49" s="105">
        <v>15378777.67</v>
      </c>
      <c r="D49" s="105">
        <v>53001.47</v>
      </c>
      <c r="E49" s="105">
        <v>497733.71</v>
      </c>
      <c r="F49" s="105">
        <v>7077222.15</v>
      </c>
      <c r="G49" s="21">
        <f t="shared" si="8"/>
        <v>23006735</v>
      </c>
      <c r="H49" s="278">
        <v>1</v>
      </c>
      <c r="I49" s="80" t="s">
        <v>89</v>
      </c>
      <c r="J49" s="79">
        <f t="shared" si="2"/>
        <v>23006735</v>
      </c>
      <c r="K49" s="188">
        <v>13274917.47</v>
      </c>
      <c r="L49" s="188">
        <v>118624.23</v>
      </c>
      <c r="M49" s="188">
        <v>608037.88</v>
      </c>
      <c r="N49" s="188">
        <v>7097250.84</v>
      </c>
      <c r="O49" s="21">
        <f t="shared" si="3"/>
        <v>21098830.42</v>
      </c>
      <c r="P49" s="293">
        <v>1</v>
      </c>
      <c r="Q49" s="80" t="s">
        <v>89</v>
      </c>
      <c r="R49" s="79">
        <f t="shared" si="12"/>
        <v>21098830.42</v>
      </c>
      <c r="S49" s="665">
        <f t="shared" si="4"/>
        <v>-8.292808953552072</v>
      </c>
      <c r="T49" s="665">
        <f t="shared" si="5"/>
        <v>0</v>
      </c>
      <c r="U49" s="665">
        <f t="shared" si="6"/>
        <v>-8.292808953552072</v>
      </c>
      <c r="W49" s="613"/>
    </row>
    <row r="50" spans="1:23" ht="24">
      <c r="A50" s="267">
        <f t="shared" si="11"/>
        <v>41</v>
      </c>
      <c r="B50" s="225" t="s">
        <v>320</v>
      </c>
      <c r="C50" s="185">
        <v>1993545.25</v>
      </c>
      <c r="D50" s="185">
        <v>6870.56</v>
      </c>
      <c r="E50" s="185">
        <v>64521.04</v>
      </c>
      <c r="F50" s="185">
        <v>917417.68</v>
      </c>
      <c r="G50" s="21">
        <f t="shared" si="8"/>
        <v>2982354.5300000003</v>
      </c>
      <c r="H50" s="21">
        <v>1</v>
      </c>
      <c r="I50" s="349" t="s">
        <v>4</v>
      </c>
      <c r="J50" s="79">
        <f t="shared" si="2"/>
        <v>2982354.5300000003</v>
      </c>
      <c r="K50" s="188">
        <v>1720822.63</v>
      </c>
      <c r="L50" s="188">
        <v>15377.22</v>
      </c>
      <c r="M50" s="188">
        <v>78819.72</v>
      </c>
      <c r="N50" s="188">
        <v>920014</v>
      </c>
      <c r="O50" s="21">
        <f t="shared" si="3"/>
        <v>2735033.57</v>
      </c>
      <c r="P50" s="293">
        <v>1</v>
      </c>
      <c r="Q50" s="349" t="s">
        <v>4</v>
      </c>
      <c r="R50" s="79">
        <f t="shared" si="12"/>
        <v>2735033.57</v>
      </c>
      <c r="S50" s="665">
        <f t="shared" si="4"/>
        <v>-8.292808836513492</v>
      </c>
      <c r="T50" s="665">
        <f t="shared" si="5"/>
        <v>0</v>
      </c>
      <c r="U50" s="665">
        <f t="shared" si="6"/>
        <v>-8.292808836513492</v>
      </c>
      <c r="W50" s="613"/>
    </row>
    <row r="51" spans="1:23" ht="24">
      <c r="A51" s="267">
        <f t="shared" si="11"/>
        <v>42</v>
      </c>
      <c r="B51" s="225" t="s">
        <v>272</v>
      </c>
      <c r="C51" s="22">
        <v>8160336.15</v>
      </c>
      <c r="D51" s="22">
        <v>44767.26</v>
      </c>
      <c r="E51" s="22">
        <v>403971.43</v>
      </c>
      <c r="F51" s="22">
        <v>69651.28</v>
      </c>
      <c r="G51" s="21">
        <f t="shared" si="8"/>
        <v>8678726.12</v>
      </c>
      <c r="H51" s="276">
        <v>1</v>
      </c>
      <c r="I51" s="611" t="s">
        <v>86</v>
      </c>
      <c r="J51" s="315">
        <f t="shared" si="2"/>
        <v>8678726.12</v>
      </c>
      <c r="K51" s="187">
        <v>9874258.06</v>
      </c>
      <c r="L51" s="187">
        <v>54632.25</v>
      </c>
      <c r="M51" s="187">
        <v>418842.53</v>
      </c>
      <c r="N51" s="187">
        <v>60041.93</v>
      </c>
      <c r="O51" s="21">
        <f t="shared" si="3"/>
        <v>10407774.77</v>
      </c>
      <c r="P51" s="292">
        <v>1</v>
      </c>
      <c r="Q51" s="611" t="s">
        <v>86</v>
      </c>
      <c r="R51" s="315">
        <f t="shared" si="12"/>
        <v>10407774.77</v>
      </c>
      <c r="S51" s="665">
        <f t="shared" si="4"/>
        <v>19.92283920580732</v>
      </c>
      <c r="T51" s="665">
        <f t="shared" si="5"/>
        <v>0</v>
      </c>
      <c r="U51" s="665">
        <f t="shared" si="6"/>
        <v>19.92283920580732</v>
      </c>
      <c r="W51" s="613"/>
    </row>
    <row r="52" spans="1:23" s="575" customFormat="1" ht="24" hidden="1">
      <c r="A52" s="562">
        <f t="shared" si="11"/>
        <v>43</v>
      </c>
      <c r="B52" s="553" t="s">
        <v>328</v>
      </c>
      <c r="C52" s="570"/>
      <c r="D52" s="570"/>
      <c r="E52" s="570"/>
      <c r="F52" s="570"/>
      <c r="G52" s="564">
        <f t="shared" si="8"/>
        <v>0</v>
      </c>
      <c r="H52" s="571"/>
      <c r="I52" s="572" t="s">
        <v>4</v>
      </c>
      <c r="J52" s="79" t="e">
        <f t="shared" si="2"/>
        <v>#DIV/0!</v>
      </c>
      <c r="K52" s="573"/>
      <c r="L52" s="573"/>
      <c r="M52" s="573"/>
      <c r="N52" s="573"/>
      <c r="O52" s="564">
        <f t="shared" si="3"/>
        <v>0</v>
      </c>
      <c r="P52" s="574"/>
      <c r="Q52" s="572" t="s">
        <v>4</v>
      </c>
      <c r="R52" s="566"/>
      <c r="S52" s="665" t="e">
        <f t="shared" si="4"/>
        <v>#DIV/0!</v>
      </c>
      <c r="T52" s="665" t="e">
        <f t="shared" si="5"/>
        <v>#DIV/0!</v>
      </c>
      <c r="U52" s="665" t="e">
        <f t="shared" si="6"/>
        <v>#DIV/0!</v>
      </c>
      <c r="W52" s="613"/>
    </row>
    <row r="53" spans="1:23" ht="72">
      <c r="A53" s="260">
        <f t="shared" si="11"/>
        <v>44</v>
      </c>
      <c r="B53" s="231" t="s">
        <v>333</v>
      </c>
      <c r="C53" s="185">
        <v>8160336.15</v>
      </c>
      <c r="D53" s="185">
        <v>44767.26</v>
      </c>
      <c r="E53" s="185">
        <v>403971.43</v>
      </c>
      <c r="F53" s="185">
        <v>69651.29</v>
      </c>
      <c r="G53" s="21">
        <f t="shared" si="8"/>
        <v>8678726.129999999</v>
      </c>
      <c r="H53" s="279">
        <v>785729400</v>
      </c>
      <c r="I53" s="351" t="s">
        <v>325</v>
      </c>
      <c r="J53" s="286">
        <f t="shared" si="2"/>
        <v>0.01104543896410138</v>
      </c>
      <c r="K53" s="188">
        <v>9874258.06</v>
      </c>
      <c r="L53" s="188">
        <v>54632.25</v>
      </c>
      <c r="M53" s="188">
        <v>418842.53</v>
      </c>
      <c r="N53" s="188">
        <v>60041.93</v>
      </c>
      <c r="O53" s="21">
        <f t="shared" si="3"/>
        <v>10407774.77</v>
      </c>
      <c r="P53" s="362">
        <v>785729400</v>
      </c>
      <c r="Q53" s="351" t="s">
        <v>325</v>
      </c>
      <c r="R53" s="286">
        <f>+O53/P53</f>
        <v>0.013246003993232275</v>
      </c>
      <c r="S53" s="665">
        <f t="shared" si="4"/>
        <v>19.92283906762709</v>
      </c>
      <c r="T53" s="665">
        <f t="shared" si="5"/>
        <v>0</v>
      </c>
      <c r="U53" s="665">
        <f t="shared" si="6"/>
        <v>19.922839067627095</v>
      </c>
      <c r="W53" s="613"/>
    </row>
    <row r="54" spans="1:23" s="575" customFormat="1" ht="24" hidden="1">
      <c r="A54" s="562">
        <f t="shared" si="11"/>
        <v>45</v>
      </c>
      <c r="B54" s="553" t="s">
        <v>334</v>
      </c>
      <c r="C54" s="570"/>
      <c r="D54" s="570"/>
      <c r="E54" s="570"/>
      <c r="F54" s="570"/>
      <c r="G54" s="564">
        <f t="shared" si="8"/>
        <v>0</v>
      </c>
      <c r="H54" s="571"/>
      <c r="I54" s="572" t="s">
        <v>4</v>
      </c>
      <c r="J54" s="79" t="e">
        <f t="shared" si="2"/>
        <v>#DIV/0!</v>
      </c>
      <c r="K54" s="573"/>
      <c r="L54" s="573"/>
      <c r="M54" s="573"/>
      <c r="N54" s="573"/>
      <c r="O54" s="564">
        <f t="shared" si="3"/>
        <v>0</v>
      </c>
      <c r="P54" s="574"/>
      <c r="Q54" s="572" t="s">
        <v>4</v>
      </c>
      <c r="R54" s="566"/>
      <c r="S54" s="665" t="e">
        <f t="shared" si="4"/>
        <v>#DIV/0!</v>
      </c>
      <c r="T54" s="665" t="e">
        <f t="shared" si="5"/>
        <v>#DIV/0!</v>
      </c>
      <c r="U54" s="665" t="e">
        <f t="shared" si="6"/>
        <v>#DIV/0!</v>
      </c>
      <c r="W54" s="613"/>
    </row>
    <row r="55" spans="1:23" ht="24">
      <c r="A55" s="267">
        <f t="shared" si="11"/>
        <v>46</v>
      </c>
      <c r="B55" s="225" t="s">
        <v>273</v>
      </c>
      <c r="C55" s="22">
        <v>1685072.11</v>
      </c>
      <c r="D55" s="22">
        <v>16529.73</v>
      </c>
      <c r="E55" s="22">
        <v>117470.93</v>
      </c>
      <c r="F55" s="22">
        <v>24018.36</v>
      </c>
      <c r="G55" s="21">
        <f t="shared" si="8"/>
        <v>1843091.1300000001</v>
      </c>
      <c r="H55" s="276">
        <v>1</v>
      </c>
      <c r="I55" s="80" t="s">
        <v>86</v>
      </c>
      <c r="J55" s="79">
        <f t="shared" si="2"/>
        <v>1843091.1300000001</v>
      </c>
      <c r="K55" s="187">
        <v>1330250.72</v>
      </c>
      <c r="L55" s="187">
        <v>19952.6</v>
      </c>
      <c r="M55" s="187">
        <v>105096.27</v>
      </c>
      <c r="N55" s="187">
        <v>20723.02</v>
      </c>
      <c r="O55" s="21">
        <f t="shared" si="3"/>
        <v>1476022.61</v>
      </c>
      <c r="P55" s="292">
        <v>1</v>
      </c>
      <c r="Q55" s="80" t="s">
        <v>86</v>
      </c>
      <c r="R55" s="315">
        <f aca="true" t="shared" si="13" ref="R55:R64">+O55/P55</f>
        <v>1476022.61</v>
      </c>
      <c r="S55" s="665">
        <f t="shared" si="4"/>
        <v>-19.915918102215596</v>
      </c>
      <c r="T55" s="665">
        <f t="shared" si="5"/>
        <v>0</v>
      </c>
      <c r="U55" s="665">
        <f t="shared" si="6"/>
        <v>-19.915918102215596</v>
      </c>
      <c r="W55" s="613"/>
    </row>
    <row r="56" spans="1:23" ht="24">
      <c r="A56" s="267">
        <f t="shared" si="11"/>
        <v>47</v>
      </c>
      <c r="B56" s="225" t="s">
        <v>285</v>
      </c>
      <c r="C56" s="188">
        <v>2106340.14</v>
      </c>
      <c r="D56" s="188">
        <v>20662.16</v>
      </c>
      <c r="E56" s="188">
        <v>146838.66</v>
      </c>
      <c r="F56" s="188">
        <v>30022.96</v>
      </c>
      <c r="G56" s="21">
        <f t="shared" si="8"/>
        <v>2303863.9200000004</v>
      </c>
      <c r="H56" s="276">
        <v>1</v>
      </c>
      <c r="I56" s="304" t="s">
        <v>86</v>
      </c>
      <c r="J56" s="79">
        <f t="shared" si="2"/>
        <v>2303863.9200000004</v>
      </c>
      <c r="K56" s="188">
        <v>1662813.41</v>
      </c>
      <c r="L56" s="188">
        <v>24940.74</v>
      </c>
      <c r="M56" s="188">
        <v>131370.34</v>
      </c>
      <c r="N56" s="188">
        <v>25903.77</v>
      </c>
      <c r="O56" s="21">
        <f t="shared" si="3"/>
        <v>1845028.26</v>
      </c>
      <c r="P56" s="293">
        <v>1</v>
      </c>
      <c r="Q56" s="80" t="s">
        <v>86</v>
      </c>
      <c r="R56" s="79">
        <f t="shared" si="13"/>
        <v>1845028.26</v>
      </c>
      <c r="S56" s="665">
        <f t="shared" si="4"/>
        <v>-19.915918471434733</v>
      </c>
      <c r="T56" s="665">
        <f t="shared" si="5"/>
        <v>0</v>
      </c>
      <c r="U56" s="665">
        <f t="shared" si="6"/>
        <v>-19.915918471434733</v>
      </c>
      <c r="W56" s="613"/>
    </row>
    <row r="57" spans="1:23" ht="24">
      <c r="A57" s="267">
        <f t="shared" si="11"/>
        <v>48</v>
      </c>
      <c r="B57" s="225" t="s">
        <v>405</v>
      </c>
      <c r="C57" s="188">
        <v>421268.03</v>
      </c>
      <c r="D57" s="188">
        <v>4132.43</v>
      </c>
      <c r="E57" s="188">
        <v>29367.73</v>
      </c>
      <c r="F57" s="188">
        <v>6004.59</v>
      </c>
      <c r="G57" s="21">
        <f t="shared" si="8"/>
        <v>460772.78</v>
      </c>
      <c r="H57" s="276">
        <v>18</v>
      </c>
      <c r="I57" s="304" t="s">
        <v>326</v>
      </c>
      <c r="J57" s="79">
        <f t="shared" si="2"/>
        <v>25598.48777777778</v>
      </c>
      <c r="K57" s="188">
        <v>332562.68</v>
      </c>
      <c r="L57" s="188">
        <v>4988.15</v>
      </c>
      <c r="M57" s="188">
        <v>26274.06</v>
      </c>
      <c r="N57" s="188">
        <v>5180.76</v>
      </c>
      <c r="O57" s="21">
        <f t="shared" si="3"/>
        <v>369005.65</v>
      </c>
      <c r="P57" s="293">
        <v>26</v>
      </c>
      <c r="Q57" s="80" t="s">
        <v>326</v>
      </c>
      <c r="R57" s="79">
        <f t="shared" si="13"/>
        <v>14192.525000000001</v>
      </c>
      <c r="S57" s="665">
        <f t="shared" si="4"/>
        <v>-19.91591821027275</v>
      </c>
      <c r="T57" s="665">
        <f t="shared" si="5"/>
        <v>44.44444444444444</v>
      </c>
      <c r="U57" s="665">
        <f t="shared" si="6"/>
        <v>-44.55717414557345</v>
      </c>
      <c r="W57" s="613"/>
    </row>
    <row r="58" spans="1:23" ht="48">
      <c r="A58" s="260">
        <f t="shared" si="11"/>
        <v>49</v>
      </c>
      <c r="B58" s="277" t="s">
        <v>274</v>
      </c>
      <c r="C58" s="21">
        <v>3169870.11</v>
      </c>
      <c r="D58" s="21">
        <v>41839.86</v>
      </c>
      <c r="E58" s="21">
        <v>251226.94</v>
      </c>
      <c r="F58" s="21">
        <v>171983.95</v>
      </c>
      <c r="G58" s="21">
        <f t="shared" si="8"/>
        <v>3634920.86</v>
      </c>
      <c r="H58" s="275">
        <v>57120</v>
      </c>
      <c r="I58" s="280" t="s">
        <v>87</v>
      </c>
      <c r="J58" s="286">
        <f t="shared" si="2"/>
        <v>63.636569677871144</v>
      </c>
      <c r="K58" s="21">
        <v>3886229.1</v>
      </c>
      <c r="L58" s="21">
        <v>57717.99</v>
      </c>
      <c r="M58" s="21">
        <v>287775.87</v>
      </c>
      <c r="N58" s="21">
        <v>175587.01</v>
      </c>
      <c r="O58" s="21">
        <f t="shared" si="3"/>
        <v>4407309.97</v>
      </c>
      <c r="P58" s="279">
        <v>47504</v>
      </c>
      <c r="Q58" s="280" t="s">
        <v>87</v>
      </c>
      <c r="R58" s="286">
        <f t="shared" si="13"/>
        <v>92.77766019703603</v>
      </c>
      <c r="S58" s="665">
        <f t="shared" si="4"/>
        <v>21.249131404748105</v>
      </c>
      <c r="T58" s="665">
        <f t="shared" si="5"/>
        <v>-16.834733893557424</v>
      </c>
      <c r="U58" s="665">
        <f t="shared" si="6"/>
        <v>45.792993976069624</v>
      </c>
      <c r="W58" s="613"/>
    </row>
    <row r="59" spans="1:23" ht="24">
      <c r="A59" s="267">
        <f t="shared" si="11"/>
        <v>50</v>
      </c>
      <c r="B59" s="225" t="s">
        <v>275</v>
      </c>
      <c r="C59" s="105">
        <v>4226493.48</v>
      </c>
      <c r="D59" s="105">
        <v>55786.48</v>
      </c>
      <c r="E59" s="105">
        <v>334969.25</v>
      </c>
      <c r="F59" s="105">
        <v>229311.93</v>
      </c>
      <c r="G59" s="21">
        <f t="shared" si="8"/>
        <v>4846561.140000001</v>
      </c>
      <c r="H59" s="276">
        <v>95369</v>
      </c>
      <c r="I59" s="80" t="s">
        <v>88</v>
      </c>
      <c r="J59" s="79">
        <f t="shared" si="2"/>
        <v>50.81904119787353</v>
      </c>
      <c r="K59" s="188">
        <v>5181638.8</v>
      </c>
      <c r="L59" s="188">
        <v>76957.32</v>
      </c>
      <c r="M59" s="188">
        <v>383701.16</v>
      </c>
      <c r="N59" s="188">
        <v>234116.01</v>
      </c>
      <c r="O59" s="21">
        <f t="shared" si="3"/>
        <v>5876413.29</v>
      </c>
      <c r="P59" s="293">
        <v>91203</v>
      </c>
      <c r="Q59" s="80" t="s">
        <v>88</v>
      </c>
      <c r="R59" s="79">
        <f t="shared" si="13"/>
        <v>64.43223676852735</v>
      </c>
      <c r="S59" s="665">
        <f t="shared" si="4"/>
        <v>21.249131502754533</v>
      </c>
      <c r="T59" s="665">
        <f t="shared" si="5"/>
        <v>-4.3682957774538895</v>
      </c>
      <c r="U59" s="665">
        <f t="shared" si="6"/>
        <v>26.787588371941666</v>
      </c>
      <c r="W59" s="613"/>
    </row>
    <row r="60" spans="1:23" ht="24">
      <c r="A60" s="267">
        <f t="shared" si="11"/>
        <v>51</v>
      </c>
      <c r="B60" s="225" t="s">
        <v>332</v>
      </c>
      <c r="C60" s="185">
        <v>3169870.12</v>
      </c>
      <c r="D60" s="185">
        <v>41839.85</v>
      </c>
      <c r="E60" s="185">
        <v>251226.94</v>
      </c>
      <c r="F60" s="185">
        <v>171983.96</v>
      </c>
      <c r="G60" s="21">
        <f t="shared" si="8"/>
        <v>3634920.87</v>
      </c>
      <c r="H60" s="279">
        <v>343</v>
      </c>
      <c r="I60" s="80" t="s">
        <v>4</v>
      </c>
      <c r="J60" s="79">
        <f t="shared" si="2"/>
        <v>10597.43693877551</v>
      </c>
      <c r="K60" s="188">
        <v>3886229.09</v>
      </c>
      <c r="L60" s="188">
        <v>57718</v>
      </c>
      <c r="M60" s="188">
        <v>287775.87</v>
      </c>
      <c r="N60" s="188">
        <v>175587</v>
      </c>
      <c r="O60" s="21">
        <f t="shared" si="3"/>
        <v>4407309.96</v>
      </c>
      <c r="P60" s="293">
        <v>264</v>
      </c>
      <c r="Q60" s="80" t="s">
        <v>4</v>
      </c>
      <c r="R60" s="79">
        <f t="shared" si="13"/>
        <v>16694.355909090908</v>
      </c>
      <c r="S60" s="665">
        <f t="shared" si="4"/>
        <v>21.249130796071494</v>
      </c>
      <c r="T60" s="665">
        <f t="shared" si="5"/>
        <v>-23.03206997084548</v>
      </c>
      <c r="U60" s="665">
        <f t="shared" si="6"/>
        <v>57.53201463277469</v>
      </c>
      <c r="W60" s="613"/>
    </row>
    <row r="61" spans="1:23" ht="24">
      <c r="A61" s="267">
        <f t="shared" si="11"/>
        <v>52</v>
      </c>
      <c r="B61" s="225" t="s">
        <v>393</v>
      </c>
      <c r="C61" s="22">
        <v>10669908.5</v>
      </c>
      <c r="D61" s="22">
        <v>62003.97</v>
      </c>
      <c r="E61" s="22">
        <v>915776.43</v>
      </c>
      <c r="F61" s="22">
        <v>1300633.46</v>
      </c>
      <c r="G61" s="21">
        <f t="shared" si="8"/>
        <v>12948322.36</v>
      </c>
      <c r="H61" s="281">
        <v>1</v>
      </c>
      <c r="I61" s="80" t="s">
        <v>98</v>
      </c>
      <c r="J61" s="79">
        <f t="shared" si="2"/>
        <v>12948322.36</v>
      </c>
      <c r="K61" s="187">
        <v>10933181.28</v>
      </c>
      <c r="L61" s="187">
        <v>92636.34</v>
      </c>
      <c r="M61" s="187">
        <v>1023947.02</v>
      </c>
      <c r="N61" s="187">
        <v>1306760</v>
      </c>
      <c r="O61" s="21">
        <f t="shared" si="3"/>
        <v>13356524.639999999</v>
      </c>
      <c r="P61" s="292">
        <v>1</v>
      </c>
      <c r="Q61" s="80" t="s">
        <v>98</v>
      </c>
      <c r="R61" s="79">
        <f t="shared" si="13"/>
        <v>13356524.639999999</v>
      </c>
      <c r="S61" s="665">
        <f t="shared" si="4"/>
        <v>3.15254956318526</v>
      </c>
      <c r="T61" s="665">
        <f t="shared" si="5"/>
        <v>0</v>
      </c>
      <c r="U61" s="665">
        <f t="shared" si="6"/>
        <v>3.15254956318526</v>
      </c>
      <c r="W61" s="613"/>
    </row>
    <row r="62" spans="1:23" ht="24">
      <c r="A62" s="260">
        <f t="shared" si="11"/>
        <v>53</v>
      </c>
      <c r="B62" s="231" t="s">
        <v>277</v>
      </c>
      <c r="C62" s="21">
        <v>6289266.32</v>
      </c>
      <c r="D62" s="21">
        <v>77481.22</v>
      </c>
      <c r="E62" s="21">
        <v>583371.77</v>
      </c>
      <c r="F62" s="21">
        <v>110358.55</v>
      </c>
      <c r="G62" s="21">
        <f t="shared" si="8"/>
        <v>7060477.86</v>
      </c>
      <c r="H62" s="591">
        <v>10282</v>
      </c>
      <c r="I62" s="106" t="s">
        <v>99</v>
      </c>
      <c r="J62" s="79">
        <f t="shared" si="2"/>
        <v>686.6833164753939</v>
      </c>
      <c r="K62" s="21">
        <v>5806125.65</v>
      </c>
      <c r="L62" s="21">
        <v>92635.34</v>
      </c>
      <c r="M62" s="21">
        <v>622600.45</v>
      </c>
      <c r="N62" s="21">
        <v>93172.02</v>
      </c>
      <c r="O62" s="21">
        <f t="shared" si="3"/>
        <v>6614533.46</v>
      </c>
      <c r="P62" s="279">
        <v>11041</v>
      </c>
      <c r="Q62" s="106" t="s">
        <v>99</v>
      </c>
      <c r="R62" s="286">
        <f t="shared" si="13"/>
        <v>599.0882583099357</v>
      </c>
      <c r="S62" s="665">
        <f t="shared" si="4"/>
        <v>-6.3160654114706105</v>
      </c>
      <c r="T62" s="665">
        <f t="shared" si="5"/>
        <v>7.381832328340789</v>
      </c>
      <c r="U62" s="665">
        <f t="shared" si="6"/>
        <v>-12.756252564146438</v>
      </c>
      <c r="W62" s="613"/>
    </row>
    <row r="63" spans="1:23" ht="24">
      <c r="A63" s="267">
        <f t="shared" si="11"/>
        <v>54</v>
      </c>
      <c r="B63" s="225" t="s">
        <v>278</v>
      </c>
      <c r="C63" s="105">
        <v>4839222.1</v>
      </c>
      <c r="D63" s="105">
        <v>46489.73</v>
      </c>
      <c r="E63" s="105">
        <v>202982.59</v>
      </c>
      <c r="F63" s="105">
        <v>127226.1</v>
      </c>
      <c r="G63" s="21">
        <f t="shared" si="8"/>
        <v>5215920.52</v>
      </c>
      <c r="H63" s="278">
        <v>94</v>
      </c>
      <c r="I63" s="101" t="s">
        <v>4</v>
      </c>
      <c r="J63" s="79">
        <f t="shared" si="2"/>
        <v>55488.51617021276</v>
      </c>
      <c r="K63" s="188">
        <v>4518977.28</v>
      </c>
      <c r="L63" s="188">
        <v>57006.13</v>
      </c>
      <c r="M63" s="188">
        <v>239080.88</v>
      </c>
      <c r="N63" s="188">
        <v>118347.59</v>
      </c>
      <c r="O63" s="21">
        <f t="shared" si="3"/>
        <v>4933411.88</v>
      </c>
      <c r="P63" s="293">
        <v>93</v>
      </c>
      <c r="Q63" s="101" t="s">
        <v>4</v>
      </c>
      <c r="R63" s="79">
        <f t="shared" si="13"/>
        <v>53047.43956989247</v>
      </c>
      <c r="S63" s="665">
        <f t="shared" si="4"/>
        <v>-5.41627578328206</v>
      </c>
      <c r="T63" s="665">
        <f t="shared" si="5"/>
        <v>-1.0638297872340425</v>
      </c>
      <c r="U63" s="665">
        <f t="shared" si="6"/>
        <v>-4.399246490629176</v>
      </c>
      <c r="W63" s="613"/>
    </row>
    <row r="64" spans="1:23" ht="24">
      <c r="A64" s="267">
        <f t="shared" si="11"/>
        <v>55</v>
      </c>
      <c r="B64" s="225" t="s">
        <v>279</v>
      </c>
      <c r="C64" s="130">
        <v>3171602.3</v>
      </c>
      <c r="D64" s="130">
        <v>36158.9</v>
      </c>
      <c r="E64" s="130">
        <v>404997.18</v>
      </c>
      <c r="F64" s="130">
        <v>51500.66</v>
      </c>
      <c r="G64" s="21">
        <f t="shared" si="8"/>
        <v>3664259.04</v>
      </c>
      <c r="H64" s="282">
        <v>3000</v>
      </c>
      <c r="I64" s="129" t="s">
        <v>100</v>
      </c>
      <c r="J64" s="79">
        <f t="shared" si="2"/>
        <v>1221.41968</v>
      </c>
      <c r="K64" s="189">
        <v>2998635.37</v>
      </c>
      <c r="L64" s="189">
        <v>42756.85</v>
      </c>
      <c r="M64" s="189">
        <v>363238.64</v>
      </c>
      <c r="N64" s="189">
        <v>43002.47</v>
      </c>
      <c r="O64" s="21">
        <f t="shared" si="3"/>
        <v>3447633.3300000005</v>
      </c>
      <c r="P64" s="294">
        <v>5333</v>
      </c>
      <c r="Q64" s="152" t="s">
        <v>100</v>
      </c>
      <c r="R64" s="79">
        <f t="shared" si="13"/>
        <v>646.471653853366</v>
      </c>
      <c r="S64" s="665">
        <f t="shared" si="4"/>
        <v>-5.911855784082325</v>
      </c>
      <c r="T64" s="665">
        <f t="shared" si="5"/>
        <v>77.76666666666667</v>
      </c>
      <c r="U64" s="665">
        <f t="shared" si="6"/>
        <v>-47.07211088547665</v>
      </c>
      <c r="W64" s="613"/>
    </row>
    <row r="65" spans="1:21" ht="24.75" thickBot="1">
      <c r="A65" s="268"/>
      <c r="B65" s="228"/>
      <c r="C65" s="83">
        <f>SUM(C10:C64,C6)</f>
        <v>650912478.3199998</v>
      </c>
      <c r="D65" s="83">
        <f>SUM(D10:D64,D6)</f>
        <v>5226768.200000001</v>
      </c>
      <c r="E65" s="83">
        <f>SUM(E10:E64,E6)</f>
        <v>106385868.93000002</v>
      </c>
      <c r="F65" s="83">
        <f>SUM(F10:F64,F6)</f>
        <v>29186122.25</v>
      </c>
      <c r="G65" s="83">
        <f>SUM(G10:G64,G6)</f>
        <v>791711237.6999997</v>
      </c>
      <c r="H65" s="273"/>
      <c r="I65" s="24"/>
      <c r="J65" s="190"/>
      <c r="K65" s="190">
        <f>SUM(K6:K64)</f>
        <v>687123096.8499998</v>
      </c>
      <c r="L65" s="190">
        <f>SUM(L6:L64)</f>
        <v>14995981.030000007</v>
      </c>
      <c r="M65" s="190">
        <f>SUM(M6:M64)</f>
        <v>29053890.91</v>
      </c>
      <c r="N65" s="190">
        <f>SUM(N6:N64)</f>
        <v>27080616.8</v>
      </c>
      <c r="O65" s="190">
        <f>SUM(O6:O64)</f>
        <v>758253585.59</v>
      </c>
      <c r="P65" s="295"/>
      <c r="Q65" s="24"/>
      <c r="R65" s="83"/>
      <c r="S65" s="666"/>
      <c r="T65" s="666"/>
      <c r="U65" s="667"/>
    </row>
    <row r="66" spans="2:10" ht="24.75" thickTop="1">
      <c r="B66" s="25"/>
      <c r="C66" s="25"/>
      <c r="D66" s="25"/>
      <c r="E66" s="25"/>
      <c r="F66" s="25"/>
      <c r="G66" s="25"/>
      <c r="H66" s="274"/>
      <c r="I66" s="25"/>
      <c r="J66" s="157"/>
    </row>
    <row r="67" spans="1:21" s="20" customFormat="1" ht="24">
      <c r="A67" s="269"/>
      <c r="B67" s="26"/>
      <c r="C67" s="138"/>
      <c r="D67" s="138"/>
      <c r="E67" s="612"/>
      <c r="F67" s="138"/>
      <c r="G67" s="139"/>
      <c r="H67" s="120"/>
      <c r="J67" s="141"/>
      <c r="K67" s="233"/>
      <c r="L67" s="233"/>
      <c r="M67" s="233"/>
      <c r="N67" s="233"/>
      <c r="O67" s="233"/>
      <c r="P67" s="296"/>
      <c r="Q67" s="154"/>
      <c r="R67" s="154"/>
      <c r="S67" s="669"/>
      <c r="T67" s="669"/>
      <c r="U67" s="669"/>
    </row>
    <row r="68" spans="2:15" ht="24">
      <c r="B68" s="28"/>
      <c r="C68" s="28"/>
      <c r="D68" s="28"/>
      <c r="E68" s="28"/>
      <c r="F68" s="28"/>
      <c r="G68" s="28"/>
      <c r="H68" s="120"/>
      <c r="K68" s="287"/>
      <c r="L68" s="287"/>
      <c r="M68" s="287"/>
      <c r="N68" s="287"/>
      <c r="O68" s="287"/>
    </row>
    <row r="69" spans="2:8" ht="24">
      <c r="B69" s="28"/>
      <c r="C69" s="28"/>
      <c r="D69" s="28"/>
      <c r="E69" s="28"/>
      <c r="F69" s="26"/>
      <c r="G69" s="54"/>
      <c r="H69" s="120"/>
    </row>
    <row r="70" spans="2:8" ht="24">
      <c r="B70" s="28"/>
      <c r="C70" s="54"/>
      <c r="D70" s="28"/>
      <c r="E70" s="28"/>
      <c r="F70" s="26"/>
      <c r="G70" s="54"/>
      <c r="H70" s="120"/>
    </row>
    <row r="71" spans="2:8" ht="24">
      <c r="B71" s="28"/>
      <c r="C71" s="54"/>
      <c r="D71" s="28"/>
      <c r="E71" s="28"/>
      <c r="F71" s="26"/>
      <c r="G71" s="54"/>
      <c r="H71" s="120"/>
    </row>
    <row r="72" spans="2:8" ht="24">
      <c r="B72" s="28"/>
      <c r="C72" s="54"/>
      <c r="D72" s="28"/>
      <c r="E72" s="28"/>
      <c r="F72" s="26"/>
      <c r="G72" s="54"/>
      <c r="H72" s="120"/>
    </row>
    <row r="73" spans="2:8" ht="24">
      <c r="B73" s="28"/>
      <c r="C73" s="54"/>
      <c r="D73" s="28"/>
      <c r="E73" s="28"/>
      <c r="F73" s="26"/>
      <c r="G73" s="54"/>
      <c r="H73" s="120"/>
    </row>
    <row r="74" spans="2:8" ht="24">
      <c r="B74" s="28"/>
      <c r="C74" s="54"/>
      <c r="D74" s="28"/>
      <c r="E74" s="28"/>
      <c r="F74" s="26"/>
      <c r="G74" s="54"/>
      <c r="H74" s="120"/>
    </row>
    <row r="75" spans="2:8" ht="24">
      <c r="B75" s="28"/>
      <c r="C75" s="28"/>
      <c r="D75" s="28"/>
      <c r="E75" s="28"/>
      <c r="F75" s="26"/>
      <c r="G75" s="54"/>
      <c r="H75" s="120"/>
    </row>
    <row r="76" spans="2:8" ht="24">
      <c r="B76" s="28"/>
      <c r="C76" s="54"/>
      <c r="D76" s="28"/>
      <c r="E76" s="28"/>
      <c r="F76" s="26"/>
      <c r="G76" s="54"/>
      <c r="H76" s="120"/>
    </row>
    <row r="77" spans="2:8" ht="24">
      <c r="B77" s="28"/>
      <c r="C77" s="28"/>
      <c r="D77" s="28"/>
      <c r="E77" s="28"/>
      <c r="F77" s="26"/>
      <c r="G77" s="54"/>
      <c r="H77" s="120"/>
    </row>
    <row r="78" spans="2:8" ht="24">
      <c r="B78" s="28"/>
      <c r="C78" s="28"/>
      <c r="D78" s="28"/>
      <c r="E78" s="28"/>
      <c r="F78" s="26"/>
      <c r="G78" s="54"/>
      <c r="H78" s="120"/>
    </row>
    <row r="79" spans="2:8" ht="24">
      <c r="B79" s="28"/>
      <c r="C79" s="54"/>
      <c r="D79" s="28"/>
      <c r="E79" s="28"/>
      <c r="F79" s="26"/>
      <c r="G79" s="54"/>
      <c r="H79" s="120"/>
    </row>
    <row r="80" spans="2:8" ht="24">
      <c r="B80" s="28"/>
      <c r="C80" s="54"/>
      <c r="D80" s="28"/>
      <c r="E80" s="28"/>
      <c r="F80" s="26"/>
      <c r="G80" s="54"/>
      <c r="H80" s="120"/>
    </row>
    <row r="81" spans="2:8" ht="24">
      <c r="B81" s="28"/>
      <c r="C81" s="54"/>
      <c r="D81" s="28"/>
      <c r="E81" s="28"/>
      <c r="F81" s="26"/>
      <c r="G81" s="54"/>
      <c r="H81" s="120"/>
    </row>
    <row r="82" spans="2:8" ht="24">
      <c r="B82" s="28"/>
      <c r="C82" s="28"/>
      <c r="D82" s="28"/>
      <c r="E82" s="28"/>
      <c r="F82" s="26"/>
      <c r="G82" s="54"/>
      <c r="H82" s="120"/>
    </row>
    <row r="83" spans="2:8" ht="24">
      <c r="B83" s="28"/>
      <c r="C83" s="28"/>
      <c r="D83" s="28"/>
      <c r="E83" s="28"/>
      <c r="F83" s="26"/>
      <c r="G83" s="54"/>
      <c r="H83" s="120"/>
    </row>
    <row r="84" spans="2:8" ht="24">
      <c r="B84" s="28"/>
      <c r="C84" s="54"/>
      <c r="D84" s="28"/>
      <c r="E84" s="28"/>
      <c r="F84" s="26"/>
      <c r="G84" s="54"/>
      <c r="H84" s="120"/>
    </row>
    <row r="85" spans="2:8" ht="24">
      <c r="B85" s="28"/>
      <c r="C85" s="54"/>
      <c r="D85" s="28"/>
      <c r="E85" s="28"/>
      <c r="F85" s="26"/>
      <c r="G85" s="54"/>
      <c r="H85" s="120"/>
    </row>
    <row r="86" spans="2:8" ht="24">
      <c r="B86" s="28"/>
      <c r="C86" s="54"/>
      <c r="D86" s="28"/>
      <c r="E86" s="28"/>
      <c r="F86" s="26"/>
      <c r="G86" s="54"/>
      <c r="H86" s="120"/>
    </row>
    <row r="87" spans="2:8" ht="24">
      <c r="B87" s="28"/>
      <c r="C87" s="28"/>
      <c r="D87" s="28"/>
      <c r="E87" s="28"/>
      <c r="F87" s="26"/>
      <c r="G87" s="54"/>
      <c r="H87" s="120"/>
    </row>
    <row r="88" spans="2:8" ht="24">
      <c r="B88" s="28"/>
      <c r="C88" s="54"/>
      <c r="D88" s="28"/>
      <c r="E88" s="28"/>
      <c r="F88" s="26"/>
      <c r="G88" s="54"/>
      <c r="H88" s="120"/>
    </row>
    <row r="89" spans="2:8" ht="24">
      <c r="B89" s="55"/>
      <c r="C89" s="55"/>
      <c r="D89" s="55"/>
      <c r="E89" s="55"/>
      <c r="F89" s="55"/>
      <c r="G89" s="54"/>
      <c r="H89" s="120"/>
    </row>
    <row r="90" spans="2:8" ht="24">
      <c r="B90" s="54"/>
      <c r="C90" s="54"/>
      <c r="D90" s="54"/>
      <c r="E90" s="54"/>
      <c r="F90" s="54"/>
      <c r="G90" s="54"/>
      <c r="H90" s="120"/>
    </row>
    <row r="91" spans="2:8" ht="24">
      <c r="B91" s="54"/>
      <c r="C91" s="54"/>
      <c r="D91" s="54"/>
      <c r="E91" s="54"/>
      <c r="F91" s="54"/>
      <c r="G91" s="54"/>
      <c r="H91" s="120"/>
    </row>
    <row r="92" spans="2:8" ht="24">
      <c r="B92" s="54"/>
      <c r="C92" s="54"/>
      <c r="D92" s="54"/>
      <c r="E92" s="54"/>
      <c r="F92" s="54"/>
      <c r="G92" s="54"/>
      <c r="H92" s="120"/>
    </row>
    <row r="93" spans="2:8" ht="24">
      <c r="B93" s="54"/>
      <c r="C93" s="54"/>
      <c r="D93" s="54"/>
      <c r="E93" s="54"/>
      <c r="F93" s="54"/>
      <c r="G93" s="54"/>
      <c r="H93" s="120"/>
    </row>
    <row r="94" spans="2:8" ht="24">
      <c r="B94" s="54"/>
      <c r="C94" s="54"/>
      <c r="D94" s="54"/>
      <c r="E94" s="54"/>
      <c r="F94" s="54"/>
      <c r="G94" s="54"/>
      <c r="H94" s="120"/>
    </row>
    <row r="95" spans="2:8" ht="24">
      <c r="B95" s="54"/>
      <c r="C95" s="54"/>
      <c r="D95" s="54"/>
      <c r="E95" s="54"/>
      <c r="F95" s="54"/>
      <c r="G95" s="54"/>
      <c r="H95" s="120"/>
    </row>
  </sheetData>
  <sheetProtection/>
  <mergeCells count="6">
    <mergeCell ref="B1:U1"/>
    <mergeCell ref="S2:U2"/>
    <mergeCell ref="B3:B4"/>
    <mergeCell ref="C3:J3"/>
    <mergeCell ref="K3:R3"/>
    <mergeCell ref="S3:U3"/>
  </mergeCells>
  <printOptions horizontalCentered="1"/>
  <pageMargins left="0.393700787401575" right="0" top="0.3" bottom="0.2" header="0.511811023622047" footer="0.511811023622047"/>
  <pageSetup orientation="landscape" paperSize="5" scale="4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9" sqref="A9:N9"/>
    </sheetView>
  </sheetViews>
  <sheetFormatPr defaultColWidth="9.140625" defaultRowHeight="12.75"/>
  <cols>
    <col min="1" max="1" width="16.140625" style="192" customWidth="1"/>
    <col min="2" max="6" width="9.140625" style="192" customWidth="1"/>
    <col min="7" max="7" width="7.8515625" style="192" customWidth="1"/>
    <col min="8" max="13" width="9.140625" style="192" customWidth="1"/>
    <col min="14" max="14" width="11.7109375" style="192" customWidth="1"/>
    <col min="15" max="15" width="13.140625" style="192" customWidth="1"/>
    <col min="16" max="16384" width="9.140625" style="192" customWidth="1"/>
  </cols>
  <sheetData>
    <row r="1" spans="1:2" ht="24">
      <c r="A1" s="191" t="s">
        <v>47</v>
      </c>
      <c r="B1" s="192" t="s">
        <v>48</v>
      </c>
    </row>
    <row r="2" ht="9" customHeight="1"/>
    <row r="3" spans="1:15" ht="168" customHeight="1" hidden="1">
      <c r="A3" s="716" t="s">
        <v>390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314"/>
    </row>
    <row r="4" spans="1:15" ht="56.25" customHeight="1" hidden="1">
      <c r="A4" s="716" t="s">
        <v>383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314"/>
    </row>
    <row r="5" spans="1:15" ht="151.5" customHeight="1">
      <c r="A5" s="716" t="s">
        <v>457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314"/>
    </row>
    <row r="6" spans="1:15" ht="78" customHeight="1">
      <c r="A6" s="716" t="s">
        <v>452</v>
      </c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314"/>
    </row>
    <row r="7" spans="1:15" ht="127.5" customHeight="1">
      <c r="A7" s="716" t="s">
        <v>443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314"/>
    </row>
    <row r="8" spans="1:15" ht="177" customHeight="1" hidden="1">
      <c r="A8" s="717" t="s">
        <v>410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314"/>
    </row>
    <row r="9" spans="1:15" ht="128.25" customHeight="1">
      <c r="A9" s="716" t="s">
        <v>409</v>
      </c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314"/>
    </row>
    <row r="10" spans="1:15" ht="147.75" customHeight="1">
      <c r="A10" s="716" t="s">
        <v>427</v>
      </c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314"/>
    </row>
    <row r="11" spans="1:15" ht="103.5" customHeight="1">
      <c r="A11" s="716" t="s">
        <v>408</v>
      </c>
      <c r="B11" s="716"/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314"/>
    </row>
    <row r="12" spans="1:15" s="595" customFormat="1" ht="81.75" customHeight="1">
      <c r="A12" s="716" t="s">
        <v>453</v>
      </c>
      <c r="B12" s="716"/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594"/>
    </row>
    <row r="13" spans="1:15" s="595" customFormat="1" ht="61.5" customHeight="1">
      <c r="A13" s="716" t="s">
        <v>450</v>
      </c>
      <c r="B13" s="716"/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594"/>
    </row>
    <row r="14" spans="1:15" s="595" customFormat="1" ht="75" customHeight="1">
      <c r="A14" s="716" t="s">
        <v>454</v>
      </c>
      <c r="B14" s="716"/>
      <c r="C14" s="716"/>
      <c r="D14" s="716"/>
      <c r="E14" s="716"/>
      <c r="F14" s="716"/>
      <c r="G14" s="716"/>
      <c r="H14" s="716"/>
      <c r="I14" s="716"/>
      <c r="J14" s="716"/>
      <c r="K14" s="716"/>
      <c r="L14" s="716"/>
      <c r="M14" s="716"/>
      <c r="N14" s="716"/>
      <c r="O14" s="594"/>
    </row>
    <row r="15" spans="1:15" s="595" customFormat="1" ht="97.5" customHeight="1">
      <c r="A15" s="718" t="s">
        <v>451</v>
      </c>
      <c r="B15" s="716"/>
      <c r="C15" s="716"/>
      <c r="D15" s="716"/>
      <c r="E15" s="716"/>
      <c r="F15" s="716"/>
      <c r="G15" s="716"/>
      <c r="H15" s="716"/>
      <c r="I15" s="716"/>
      <c r="J15" s="716"/>
      <c r="K15" s="716"/>
      <c r="L15" s="716"/>
      <c r="M15" s="716"/>
      <c r="N15" s="716"/>
      <c r="O15" s="594"/>
    </row>
    <row r="37" spans="1:16" ht="24" hidden="1">
      <c r="A37" s="193" t="s">
        <v>14</v>
      </c>
      <c r="B37" s="194" t="s">
        <v>181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</row>
    <row r="38" spans="1:16" ht="24" hidden="1">
      <c r="A38" s="205" t="s">
        <v>182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</row>
    <row r="39" spans="1:16" ht="24" hidden="1">
      <c r="A39" s="194" t="s">
        <v>183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</row>
    <row r="40" spans="1:16" ht="24" hidden="1">
      <c r="A40" s="194" t="s">
        <v>184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</row>
    <row r="41" spans="1:16" ht="24" hidden="1">
      <c r="A41" s="194" t="s">
        <v>185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1:16" ht="24" hidden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ht="24" hidden="1">
      <c r="A43" s="193" t="s">
        <v>14</v>
      </c>
      <c r="B43" s="194" t="s">
        <v>195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ht="24" hidden="1">
      <c r="A44" s="194" t="s">
        <v>196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ht="24" hidden="1">
      <c r="A45" s="194" t="s">
        <v>214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  <row r="46" spans="1:16" ht="24" hidden="1">
      <c r="A46" s="194" t="s">
        <v>197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</row>
    <row r="47" spans="1:16" ht="24" hidden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</row>
    <row r="48" spans="1:16" ht="24" hidden="1">
      <c r="A48" s="193" t="s">
        <v>14</v>
      </c>
      <c r="B48" s="194" t="s">
        <v>198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</row>
    <row r="49" spans="1:16" ht="24" hidden="1">
      <c r="A49" s="194" t="s">
        <v>231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</row>
    <row r="50" spans="1:16" ht="24" hidden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</row>
    <row r="51" spans="1:16" ht="24" hidden="1">
      <c r="A51" s="193" t="s">
        <v>14</v>
      </c>
      <c r="B51" s="194" t="s">
        <v>199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</row>
    <row r="52" spans="1:16" ht="24" hidden="1">
      <c r="A52" s="194" t="s">
        <v>200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</row>
    <row r="53" spans="1:16" ht="24" hidden="1">
      <c r="A53" s="194" t="s">
        <v>201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</row>
    <row r="54" spans="1:16" ht="24" hidden="1">
      <c r="A54" s="193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</row>
    <row r="55" spans="1:16" ht="24" hidden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</row>
    <row r="56" spans="1:16" ht="24" hidden="1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</row>
    <row r="57" spans="1:16" ht="24" hidden="1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</row>
    <row r="58" spans="1:16" ht="24" hidden="1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</row>
    <row r="59" spans="1:16" ht="24" hidden="1">
      <c r="A59" s="193" t="s">
        <v>14</v>
      </c>
      <c r="B59" s="194" t="s">
        <v>202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</row>
    <row r="60" spans="1:16" ht="24" hidden="1">
      <c r="A60" s="194" t="s">
        <v>215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</row>
    <row r="61" spans="1:16" ht="24" hidden="1">
      <c r="A61" s="194" t="s">
        <v>232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</row>
    <row r="62" spans="1:16" ht="24" hidden="1">
      <c r="A62" s="194" t="s">
        <v>203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</row>
    <row r="63" spans="1:16" ht="24" hidden="1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</row>
    <row r="64" spans="1:16" ht="24" hidden="1">
      <c r="A64" s="193" t="s">
        <v>14</v>
      </c>
      <c r="B64" s="194" t="s">
        <v>204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</row>
    <row r="65" spans="1:16" ht="24" hidden="1">
      <c r="A65" s="194" t="s">
        <v>205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</row>
    <row r="66" spans="1:16" ht="24" hidden="1">
      <c r="A66" s="194" t="s">
        <v>216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</row>
    <row r="67" spans="1:16" ht="24" hidden="1">
      <c r="A67" s="194" t="s">
        <v>217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</row>
    <row r="68" spans="1:16" ht="24" hidden="1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</row>
    <row r="69" spans="1:16" ht="24" hidden="1">
      <c r="A69" s="193" t="s">
        <v>14</v>
      </c>
      <c r="B69" s="194" t="s">
        <v>206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</row>
    <row r="70" spans="1:16" ht="24" hidden="1">
      <c r="A70" s="194" t="s">
        <v>207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</row>
    <row r="71" spans="1:16" ht="24" hidden="1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</row>
    <row r="72" spans="1:16" ht="24" hidden="1">
      <c r="A72" s="193" t="s">
        <v>14</v>
      </c>
      <c r="B72" s="194" t="s">
        <v>233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</row>
    <row r="73" spans="1:16" ht="24" hidden="1">
      <c r="A73" s="194" t="s">
        <v>208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</row>
    <row r="74" spans="1:16" ht="24" hidden="1">
      <c r="A74" s="194" t="s">
        <v>209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</row>
    <row r="75" spans="1:16" ht="24" hidden="1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</row>
    <row r="76" spans="1:16" ht="24" hidden="1">
      <c r="A76" s="193" t="s">
        <v>14</v>
      </c>
      <c r="B76" s="194" t="s">
        <v>210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</row>
    <row r="77" spans="1:16" ht="24" hidden="1">
      <c r="A77" s="194" t="s">
        <v>218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</row>
    <row r="78" spans="1:16" ht="24" hidden="1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</row>
    <row r="79" spans="1:16" ht="24" hidden="1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</row>
    <row r="80" spans="1:16" ht="24" hidden="1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</row>
    <row r="81" spans="1:16" ht="24" hidden="1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</row>
    <row r="82" spans="1:16" ht="24" hidden="1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</row>
    <row r="83" spans="1:16" ht="24" hidden="1">
      <c r="A83" s="193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</row>
    <row r="84" spans="1:16" ht="24" hidden="1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</row>
    <row r="85" spans="1:16" ht="24" hidden="1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</row>
    <row r="86" spans="1:16" ht="24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</row>
    <row r="87" spans="1:16" ht="24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</row>
    <row r="88" spans="1:16" ht="24">
      <c r="A88" s="193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</row>
    <row r="89" spans="1:16" ht="24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</row>
    <row r="90" spans="1:16" ht="24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</row>
    <row r="91" spans="1:16" ht="24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</row>
    <row r="92" spans="1:16" ht="24">
      <c r="A92" s="204"/>
      <c r="B92" s="203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</row>
    <row r="93" spans="1:16" ht="24">
      <c r="A93" s="203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</row>
    <row r="94" spans="1:16" ht="24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</row>
    <row r="96" spans="1:2" ht="24">
      <c r="A96" s="135"/>
      <c r="B96" s="54"/>
    </row>
    <row r="97" spans="1:2" ht="24">
      <c r="A97" s="54"/>
      <c r="B97" s="54"/>
    </row>
  </sheetData>
  <sheetProtection/>
  <mergeCells count="13">
    <mergeCell ref="A11:N11"/>
    <mergeCell ref="A10:N10"/>
    <mergeCell ref="A13:N13"/>
    <mergeCell ref="A14:N14"/>
    <mergeCell ref="A12:N12"/>
    <mergeCell ref="A15:N15"/>
    <mergeCell ref="A3:N3"/>
    <mergeCell ref="A7:N7"/>
    <mergeCell ref="A9:N9"/>
    <mergeCell ref="A8:N8"/>
    <mergeCell ref="A4:N4"/>
    <mergeCell ref="A5:N5"/>
    <mergeCell ref="A6:N6"/>
  </mergeCells>
  <printOptions horizontalCentered="1"/>
  <pageMargins left="0.696850394" right="0.196850393700787" top="0.696850394" bottom="0.15748031496063" header="0.236220472440945" footer="0.1574803149606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3">
      <selection activeCell="A16" sqref="A16:N16"/>
    </sheetView>
  </sheetViews>
  <sheetFormatPr defaultColWidth="9.140625" defaultRowHeight="12.75"/>
  <cols>
    <col min="1" max="1" width="16.140625" style="192" customWidth="1"/>
    <col min="2" max="6" width="9.140625" style="192" customWidth="1"/>
    <col min="7" max="7" width="7.8515625" style="192" customWidth="1"/>
    <col min="8" max="13" width="9.140625" style="192" customWidth="1"/>
    <col min="14" max="14" width="12.00390625" style="192" customWidth="1"/>
    <col min="15" max="15" width="13.140625" style="192" customWidth="1"/>
    <col min="16" max="16384" width="9.140625" style="192" customWidth="1"/>
  </cols>
  <sheetData>
    <row r="1" spans="1:2" ht="24">
      <c r="A1" s="191" t="s">
        <v>47</v>
      </c>
      <c r="B1" s="192" t="s">
        <v>48</v>
      </c>
    </row>
    <row r="3" spans="1:15" ht="56.25" customHeight="1">
      <c r="A3" s="717" t="s">
        <v>364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314"/>
    </row>
    <row r="4" spans="1:15" ht="102.75" customHeight="1">
      <c r="A4" s="719" t="s">
        <v>299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314"/>
    </row>
    <row r="5" spans="1:15" ht="57.75" customHeight="1">
      <c r="A5" s="719" t="s">
        <v>300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314"/>
    </row>
    <row r="6" spans="1:15" ht="138" customHeight="1">
      <c r="A6" s="719" t="s">
        <v>301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314"/>
    </row>
    <row r="7" spans="1:15" ht="68.25" customHeight="1">
      <c r="A7" s="719" t="s">
        <v>302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314"/>
    </row>
    <row r="8" spans="1:15" ht="157.5" customHeight="1">
      <c r="A8" s="719" t="s">
        <v>304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314"/>
    </row>
    <row r="9" spans="1:15" ht="71.25" customHeight="1">
      <c r="A9" s="719" t="s">
        <v>303</v>
      </c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314"/>
    </row>
    <row r="10" spans="1:15" ht="106.5" customHeight="1">
      <c r="A10" s="719" t="s">
        <v>306</v>
      </c>
      <c r="B10" s="719"/>
      <c r="C10" s="719"/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314"/>
    </row>
    <row r="11" spans="1:15" ht="106.5" customHeight="1">
      <c r="A11" s="719" t="s">
        <v>305</v>
      </c>
      <c r="B11" s="719"/>
      <c r="C11" s="719"/>
      <c r="D11" s="719"/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314"/>
    </row>
    <row r="12" spans="1:15" ht="108.75" customHeight="1">
      <c r="A12" s="719" t="s">
        <v>311</v>
      </c>
      <c r="B12" s="719"/>
      <c r="C12" s="719"/>
      <c r="D12" s="719"/>
      <c r="E12" s="719"/>
      <c r="F12" s="719"/>
      <c r="G12" s="719"/>
      <c r="H12" s="719"/>
      <c r="I12" s="719"/>
      <c r="J12" s="719"/>
      <c r="K12" s="719"/>
      <c r="L12" s="719"/>
      <c r="M12" s="719"/>
      <c r="N12" s="719"/>
      <c r="O12" s="314"/>
    </row>
    <row r="13" spans="1:15" ht="107.25" customHeight="1">
      <c r="A13" s="719" t="s">
        <v>308</v>
      </c>
      <c r="B13" s="719"/>
      <c r="C13" s="719"/>
      <c r="D13" s="719"/>
      <c r="E13" s="719"/>
      <c r="F13" s="719"/>
      <c r="G13" s="719"/>
      <c r="H13" s="719"/>
      <c r="I13" s="719"/>
      <c r="J13" s="719"/>
      <c r="K13" s="719"/>
      <c r="L13" s="719"/>
      <c r="M13" s="719"/>
      <c r="N13" s="719"/>
      <c r="O13" s="314"/>
    </row>
    <row r="14" spans="1:15" ht="107.25" customHeight="1">
      <c r="A14" s="719" t="s">
        <v>307</v>
      </c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314"/>
    </row>
    <row r="15" spans="1:15" ht="64.5" customHeight="1">
      <c r="A15" s="719" t="s">
        <v>309</v>
      </c>
      <c r="B15" s="719"/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314"/>
    </row>
    <row r="16" spans="1:15" ht="78" customHeight="1">
      <c r="A16" s="719" t="s">
        <v>310</v>
      </c>
      <c r="B16" s="719"/>
      <c r="C16" s="719"/>
      <c r="D16" s="719"/>
      <c r="E16" s="719"/>
      <c r="F16" s="719"/>
      <c r="G16" s="719"/>
      <c r="H16" s="719"/>
      <c r="I16" s="719"/>
      <c r="J16" s="719"/>
      <c r="K16" s="719"/>
      <c r="L16" s="719"/>
      <c r="M16" s="719"/>
      <c r="N16" s="719"/>
      <c r="O16" s="314"/>
    </row>
    <row r="41" spans="1:16" ht="24" hidden="1">
      <c r="A41" s="193" t="s">
        <v>14</v>
      </c>
      <c r="B41" s="194" t="s">
        <v>181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1:16" ht="24" hidden="1">
      <c r="A42" s="205" t="s">
        <v>182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ht="24" hidden="1">
      <c r="A43" s="194" t="s">
        <v>183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ht="24" hidden="1">
      <c r="A44" s="194" t="s">
        <v>184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ht="24" hidden="1">
      <c r="A45" s="194" t="s">
        <v>185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  <row r="46" spans="1:16" ht="24" hidden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</row>
    <row r="47" spans="1:16" ht="24" hidden="1">
      <c r="A47" s="193" t="s">
        <v>14</v>
      </c>
      <c r="B47" s="194" t="s">
        <v>195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</row>
    <row r="48" spans="1:16" ht="24" hidden="1">
      <c r="A48" s="194" t="s">
        <v>196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</row>
    <row r="49" spans="1:16" ht="24" hidden="1">
      <c r="A49" s="194" t="s">
        <v>214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</row>
    <row r="50" spans="1:16" ht="24" hidden="1">
      <c r="A50" s="194" t="s">
        <v>197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</row>
    <row r="51" spans="1:16" ht="24" hidden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</row>
    <row r="52" spans="1:16" ht="24" hidden="1">
      <c r="A52" s="193" t="s">
        <v>14</v>
      </c>
      <c r="B52" s="194" t="s">
        <v>198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</row>
    <row r="53" spans="1:16" ht="24" hidden="1">
      <c r="A53" s="194" t="s">
        <v>231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</row>
    <row r="54" spans="1:16" ht="24" hidden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</row>
    <row r="55" spans="1:16" ht="24" hidden="1">
      <c r="A55" s="193" t="s">
        <v>14</v>
      </c>
      <c r="B55" s="194" t="s">
        <v>199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</row>
    <row r="56" spans="1:16" ht="24" hidden="1">
      <c r="A56" s="194" t="s">
        <v>200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</row>
    <row r="57" spans="1:16" ht="24" hidden="1">
      <c r="A57" s="194" t="s">
        <v>201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</row>
    <row r="58" spans="1:16" ht="24" hidden="1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</row>
    <row r="59" spans="1:16" ht="24" hidden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</row>
    <row r="60" spans="1:16" ht="24" hidden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</row>
    <row r="61" spans="1:16" ht="24" hidden="1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</row>
    <row r="62" spans="1:16" ht="24" hidden="1">
      <c r="A62" s="193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</row>
    <row r="63" spans="1:16" ht="24" hidden="1">
      <c r="A63" s="193" t="s">
        <v>14</v>
      </c>
      <c r="B63" s="194" t="s">
        <v>202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</row>
    <row r="64" spans="1:16" ht="24" hidden="1">
      <c r="A64" s="194" t="s">
        <v>215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</row>
    <row r="65" spans="1:16" ht="24" hidden="1">
      <c r="A65" s="194" t="s">
        <v>232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</row>
    <row r="66" spans="1:16" ht="24" hidden="1">
      <c r="A66" s="194" t="s">
        <v>203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</row>
    <row r="67" spans="1:16" ht="24" hidden="1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</row>
    <row r="68" spans="1:16" ht="24" hidden="1">
      <c r="A68" s="193" t="s">
        <v>14</v>
      </c>
      <c r="B68" s="194" t="s">
        <v>204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</row>
    <row r="69" spans="1:16" ht="24" hidden="1">
      <c r="A69" s="194" t="s">
        <v>205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</row>
    <row r="70" spans="1:16" ht="24" hidden="1">
      <c r="A70" s="194" t="s">
        <v>216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</row>
    <row r="71" spans="1:16" ht="24" hidden="1">
      <c r="A71" s="194" t="s">
        <v>217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</row>
    <row r="72" spans="1:16" ht="24" hidden="1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</row>
    <row r="73" spans="1:16" ht="24" hidden="1">
      <c r="A73" s="193" t="s">
        <v>14</v>
      </c>
      <c r="B73" s="194" t="s">
        <v>206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</row>
    <row r="74" spans="1:16" ht="24" hidden="1">
      <c r="A74" s="194" t="s">
        <v>207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</row>
    <row r="75" spans="1:16" ht="24" hidden="1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</row>
    <row r="76" spans="1:16" ht="24" hidden="1">
      <c r="A76" s="193" t="s">
        <v>14</v>
      </c>
      <c r="B76" s="194" t="s">
        <v>233</v>
      </c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</row>
    <row r="77" spans="1:16" ht="24" hidden="1">
      <c r="A77" s="194" t="s">
        <v>208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</row>
    <row r="78" spans="1:16" ht="24" hidden="1">
      <c r="A78" s="194" t="s">
        <v>209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</row>
    <row r="79" spans="1:16" ht="24" hidden="1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</row>
    <row r="80" spans="1:16" ht="24" hidden="1">
      <c r="A80" s="193" t="s">
        <v>14</v>
      </c>
      <c r="B80" s="194" t="s">
        <v>210</v>
      </c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</row>
    <row r="81" spans="1:16" ht="24" hidden="1">
      <c r="A81" s="194" t="s">
        <v>218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</row>
    <row r="82" spans="1:16" ht="24" hidden="1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</row>
    <row r="83" spans="1:16" ht="24" hidden="1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</row>
    <row r="84" spans="1:16" ht="24" hidden="1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</row>
    <row r="85" spans="1:16" ht="24" hidden="1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</row>
    <row r="86" spans="1:16" ht="24" hidden="1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</row>
    <row r="87" spans="1:16" ht="24" hidden="1">
      <c r="A87" s="193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</row>
    <row r="88" spans="1:16" ht="24" hidden="1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</row>
    <row r="89" spans="1:16" ht="24" hidden="1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</row>
    <row r="90" spans="1:16" ht="24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</row>
    <row r="91" spans="1:16" ht="24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</row>
    <row r="92" spans="1:16" ht="24">
      <c r="A92" s="193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</row>
    <row r="93" spans="1:16" ht="24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</row>
    <row r="94" spans="1:16" ht="24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</row>
    <row r="95" spans="1:16" ht="24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</row>
    <row r="96" spans="1:16" ht="24">
      <c r="A96" s="204"/>
      <c r="B96" s="203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</row>
    <row r="97" spans="1:16" ht="24">
      <c r="A97" s="203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</row>
    <row r="98" spans="1:16" ht="24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</row>
    <row r="100" spans="1:2" ht="24">
      <c r="A100" s="135"/>
      <c r="B100" s="54"/>
    </row>
    <row r="101" spans="1:2" ht="24">
      <c r="A101" s="54"/>
      <c r="B101" s="54"/>
    </row>
  </sheetData>
  <sheetProtection/>
  <mergeCells count="14">
    <mergeCell ref="A3:N3"/>
    <mergeCell ref="A4:N4"/>
    <mergeCell ref="A5:N5"/>
    <mergeCell ref="A6:N6"/>
    <mergeCell ref="A7:N7"/>
    <mergeCell ref="A8:N8"/>
    <mergeCell ref="A15:N15"/>
    <mergeCell ref="A16:N16"/>
    <mergeCell ref="A9:N9"/>
    <mergeCell ref="A10:N10"/>
    <mergeCell ref="A11:N11"/>
    <mergeCell ref="A12:N12"/>
    <mergeCell ref="A13:N13"/>
    <mergeCell ref="A14:N14"/>
  </mergeCells>
  <printOptions horizontalCentered="1"/>
  <pageMargins left="0.696850394" right="0.196850393700787" top="0.696850394" bottom="0.15748031496063" header="0.236220472440945" footer="0.1574803149606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2"/>
  <sheetViews>
    <sheetView zoomScaleSheetLayoutView="131" zoomScalePageLayoutView="0" workbookViewId="0" topLeftCell="A1">
      <pane xSplit="1" ySplit="4" topLeftCell="F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" sqref="A15:IV17"/>
    </sheetView>
  </sheetViews>
  <sheetFormatPr defaultColWidth="9.140625" defaultRowHeight="12.75"/>
  <cols>
    <col min="1" max="1" width="42.7109375" style="56" customWidth="1"/>
    <col min="2" max="2" width="17.421875" style="57" customWidth="1"/>
    <col min="3" max="3" width="17.8515625" style="57" customWidth="1"/>
    <col min="4" max="4" width="18.140625" style="57" customWidth="1"/>
    <col min="5" max="5" width="18.57421875" style="57" customWidth="1"/>
    <col min="6" max="6" width="18.140625" style="57" customWidth="1"/>
    <col min="7" max="7" width="9.140625" style="56" customWidth="1"/>
    <col min="8" max="8" width="10.140625" style="56" customWidth="1"/>
    <col min="9" max="9" width="16.00390625" style="56" customWidth="1"/>
    <col min="10" max="10" width="19.00390625" style="54" customWidth="1"/>
    <col min="11" max="11" width="18.57421875" style="54" customWidth="1"/>
    <col min="12" max="12" width="15.7109375" style="54" customWidth="1"/>
    <col min="13" max="13" width="16.28125" style="54" customWidth="1"/>
    <col min="14" max="14" width="17.421875" style="54" customWidth="1"/>
    <col min="15" max="15" width="10.57421875" style="54" customWidth="1"/>
    <col min="16" max="16" width="9.8515625" style="54" bestFit="1" customWidth="1"/>
    <col min="17" max="17" width="15.421875" style="54" customWidth="1"/>
    <col min="18" max="19" width="10.8515625" style="675" bestFit="1" customWidth="1"/>
    <col min="20" max="20" width="10.7109375" style="675" bestFit="1" customWidth="1"/>
    <col min="21" max="21" width="9.140625" style="27" customWidth="1"/>
    <col min="22" max="22" width="13.28125" style="27" bestFit="1" customWidth="1"/>
    <col min="23" max="16384" width="9.140625" style="27" customWidth="1"/>
  </cols>
  <sheetData>
    <row r="1" spans="1:20" ht="26.25" customHeight="1">
      <c r="A1" s="722" t="s">
        <v>396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</row>
    <row r="2" spans="1:20" s="42" customFormat="1" ht="27.75" customHeight="1">
      <c r="A2" s="13" t="s">
        <v>189</v>
      </c>
      <c r="B2" s="41"/>
      <c r="C2" s="41"/>
      <c r="D2" s="41"/>
      <c r="E2" s="41"/>
      <c r="F2" s="41"/>
      <c r="G2" s="13"/>
      <c r="H2" s="13"/>
      <c r="I2" s="13"/>
      <c r="J2" s="23"/>
      <c r="K2" s="23"/>
      <c r="L2" s="23"/>
      <c r="M2" s="23"/>
      <c r="N2" s="23"/>
      <c r="O2" s="23"/>
      <c r="P2" s="23"/>
      <c r="Q2" s="23"/>
      <c r="R2" s="670"/>
      <c r="S2" s="670"/>
      <c r="T2" s="670"/>
    </row>
    <row r="3" spans="1:20" s="42" customFormat="1" ht="24">
      <c r="A3" s="723" t="s">
        <v>13</v>
      </c>
      <c r="B3" s="720" t="s">
        <v>380</v>
      </c>
      <c r="C3" s="720"/>
      <c r="D3" s="720"/>
      <c r="E3" s="720"/>
      <c r="F3" s="720"/>
      <c r="G3" s="720"/>
      <c r="H3" s="720"/>
      <c r="I3" s="720"/>
      <c r="J3" s="720" t="s">
        <v>394</v>
      </c>
      <c r="K3" s="720"/>
      <c r="L3" s="720"/>
      <c r="M3" s="720"/>
      <c r="N3" s="720"/>
      <c r="O3" s="720"/>
      <c r="P3" s="720"/>
      <c r="Q3" s="720"/>
      <c r="R3" s="721" t="s">
        <v>46</v>
      </c>
      <c r="S3" s="721"/>
      <c r="T3" s="721"/>
    </row>
    <row r="4" spans="1:20" s="44" customFormat="1" ht="144">
      <c r="A4" s="724"/>
      <c r="B4" s="15" t="s">
        <v>0</v>
      </c>
      <c r="C4" s="15" t="s">
        <v>1</v>
      </c>
      <c r="D4" s="15" t="s">
        <v>2</v>
      </c>
      <c r="E4" s="15" t="s">
        <v>3</v>
      </c>
      <c r="F4" s="15" t="s">
        <v>11</v>
      </c>
      <c r="G4" s="16" t="s">
        <v>9</v>
      </c>
      <c r="H4" s="16" t="s">
        <v>10</v>
      </c>
      <c r="I4" s="17" t="s">
        <v>12</v>
      </c>
      <c r="J4" s="15" t="s">
        <v>0</v>
      </c>
      <c r="K4" s="15" t="s">
        <v>1</v>
      </c>
      <c r="L4" s="15" t="s">
        <v>2</v>
      </c>
      <c r="M4" s="15" t="s">
        <v>3</v>
      </c>
      <c r="N4" s="15" t="s">
        <v>11</v>
      </c>
      <c r="O4" s="16" t="s">
        <v>9</v>
      </c>
      <c r="P4" s="16" t="s">
        <v>10</v>
      </c>
      <c r="Q4" s="17" t="s">
        <v>12</v>
      </c>
      <c r="R4" s="671" t="s">
        <v>43</v>
      </c>
      <c r="S4" s="671" t="s">
        <v>44</v>
      </c>
      <c r="T4" s="672" t="s">
        <v>45</v>
      </c>
    </row>
    <row r="5" spans="1:29" s="42" customFormat="1" ht="96">
      <c r="A5" s="31" t="s">
        <v>91</v>
      </c>
      <c r="B5" s="255">
        <v>232334859.68</v>
      </c>
      <c r="C5" s="255">
        <v>1577914.8199999998</v>
      </c>
      <c r="D5" s="255">
        <v>57038187.86999998</v>
      </c>
      <c r="E5" s="255">
        <v>9135514.059999999</v>
      </c>
      <c r="F5" s="255">
        <f>SUM(B5:E5)</f>
        <v>300086476.43</v>
      </c>
      <c r="G5" s="341">
        <v>65</v>
      </c>
      <c r="H5" s="240" t="s">
        <v>4</v>
      </c>
      <c r="I5" s="255">
        <f>+F5/G5</f>
        <v>4616715.022</v>
      </c>
      <c r="J5" s="255">
        <v>260298244.39000005</v>
      </c>
      <c r="K5" s="255">
        <v>3762956.63</v>
      </c>
      <c r="L5" s="255">
        <v>18394275.36</v>
      </c>
      <c r="M5" s="255">
        <v>9538314.219999997</v>
      </c>
      <c r="N5" s="255">
        <f>SUM(J5:M5)</f>
        <v>291993790.6</v>
      </c>
      <c r="O5" s="341">
        <v>91</v>
      </c>
      <c r="P5" s="240" t="s">
        <v>4</v>
      </c>
      <c r="Q5" s="255">
        <f aca="true" t="shared" si="0" ref="Q5:Q10">+N5/O5</f>
        <v>3208722.973626374</v>
      </c>
      <c r="R5" s="673">
        <f>(N5-F5)*100/F5</f>
        <v>-2.6967845823228</v>
      </c>
      <c r="S5" s="673">
        <f>(O5-G5)*100/G5</f>
        <v>40</v>
      </c>
      <c r="T5" s="673">
        <f>(Q5-I5)*100/I5</f>
        <v>-30.497703273087716</v>
      </c>
      <c r="V5" s="348"/>
      <c r="Z5" s="348"/>
      <c r="AA5" s="348"/>
      <c r="AB5" s="348"/>
      <c r="AC5" s="348"/>
    </row>
    <row r="6" spans="1:29" s="42" customFormat="1" ht="48">
      <c r="A6" s="31" t="s">
        <v>92</v>
      </c>
      <c r="B6" s="255">
        <v>267638932.5</v>
      </c>
      <c r="C6" s="255">
        <v>3237329.21</v>
      </c>
      <c r="D6" s="255">
        <v>1385679.91</v>
      </c>
      <c r="E6" s="255">
        <v>4026118.55</v>
      </c>
      <c r="F6" s="255">
        <f aca="true" t="shared" si="1" ref="F6:F12">SUM(B6:E6)</f>
        <v>276288060.17</v>
      </c>
      <c r="G6" s="341">
        <v>121</v>
      </c>
      <c r="H6" s="240" t="s">
        <v>4</v>
      </c>
      <c r="I6" s="255">
        <f aca="true" t="shared" si="2" ref="I6:I12">+F6/G6</f>
        <v>2283372.398099174</v>
      </c>
      <c r="J6" s="255">
        <v>260099499.02</v>
      </c>
      <c r="K6" s="255">
        <v>8983337.84</v>
      </c>
      <c r="L6" s="255">
        <v>2168326.72</v>
      </c>
      <c r="M6" s="255">
        <v>2704558.77</v>
      </c>
      <c r="N6" s="255">
        <f aca="true" t="shared" si="3" ref="N6:N12">SUM(J6:M6)</f>
        <v>273955722.35</v>
      </c>
      <c r="O6" s="341">
        <v>120</v>
      </c>
      <c r="P6" s="240" t="s">
        <v>4</v>
      </c>
      <c r="Q6" s="255">
        <f t="shared" si="0"/>
        <v>2282964.352916667</v>
      </c>
      <c r="R6" s="673">
        <f aca="true" t="shared" si="4" ref="R6:R12">(N6-F6)*100/F6</f>
        <v>-0.8441688788740656</v>
      </c>
      <c r="S6" s="673">
        <f aca="true" t="shared" si="5" ref="S6:S12">(O6-G6)*100/G6</f>
        <v>-0.8264462809917356</v>
      </c>
      <c r="T6" s="673">
        <f aca="true" t="shared" si="6" ref="T6:T12">(Q6-I6)*100/I6</f>
        <v>-0.01787028619802458</v>
      </c>
      <c r="V6" s="348"/>
      <c r="Z6" s="348"/>
      <c r="AA6" s="348"/>
      <c r="AB6" s="348"/>
      <c r="AC6" s="348"/>
    </row>
    <row r="7" spans="1:29" s="42" customFormat="1" ht="48">
      <c r="A7" s="31" t="s">
        <v>93</v>
      </c>
      <c r="B7" s="255">
        <v>11512630.08</v>
      </c>
      <c r="C7" s="255">
        <v>61984.97</v>
      </c>
      <c r="D7" s="255">
        <v>724862.14</v>
      </c>
      <c r="E7" s="255">
        <v>88286.84</v>
      </c>
      <c r="F7" s="255">
        <f>SUM(B7:E7)</f>
        <v>12387764.030000001</v>
      </c>
      <c r="G7" s="341">
        <v>35</v>
      </c>
      <c r="H7" s="240" t="s">
        <v>4</v>
      </c>
      <c r="I7" s="255">
        <f t="shared" si="2"/>
        <v>353936.1151428572</v>
      </c>
      <c r="J7" s="255">
        <v>12165935.19</v>
      </c>
      <c r="K7" s="255">
        <v>92636.34</v>
      </c>
      <c r="L7" s="255">
        <v>914665.87</v>
      </c>
      <c r="M7" s="255">
        <v>93870.39</v>
      </c>
      <c r="N7" s="255">
        <f t="shared" si="3"/>
        <v>13267107.79</v>
      </c>
      <c r="O7" s="341">
        <v>25</v>
      </c>
      <c r="P7" s="240" t="s">
        <v>4</v>
      </c>
      <c r="Q7" s="255">
        <f t="shared" si="0"/>
        <v>530684.3116</v>
      </c>
      <c r="R7" s="673">
        <f t="shared" si="4"/>
        <v>7.098486521622884</v>
      </c>
      <c r="S7" s="673">
        <f t="shared" si="5"/>
        <v>-28.571428571428573</v>
      </c>
      <c r="T7" s="673">
        <f t="shared" si="6"/>
        <v>49.93788113027205</v>
      </c>
      <c r="V7" s="348"/>
      <c r="Z7" s="348"/>
      <c r="AA7" s="348"/>
      <c r="AB7" s="348"/>
      <c r="AC7" s="348"/>
    </row>
    <row r="8" spans="1:29" s="42" customFormat="1" ht="24">
      <c r="A8" s="31" t="s">
        <v>94</v>
      </c>
      <c r="B8" s="255">
        <v>24447111.38</v>
      </c>
      <c r="C8" s="255">
        <v>38742.61</v>
      </c>
      <c r="D8" s="255">
        <v>1367879.99</v>
      </c>
      <c r="E8" s="255">
        <v>2305000.01</v>
      </c>
      <c r="F8" s="255">
        <f t="shared" si="1"/>
        <v>28158733.989999995</v>
      </c>
      <c r="G8" s="341">
        <v>2365</v>
      </c>
      <c r="H8" s="240" t="s">
        <v>6</v>
      </c>
      <c r="I8" s="255">
        <f t="shared" si="2"/>
        <v>11906.441433403803</v>
      </c>
      <c r="J8" s="255">
        <v>25153522.84</v>
      </c>
      <c r="K8" s="255">
        <v>57011.63</v>
      </c>
      <c r="L8" s="255">
        <v>1656401.41</v>
      </c>
      <c r="M8" s="255">
        <v>1093052.44</v>
      </c>
      <c r="N8" s="255">
        <f t="shared" si="3"/>
        <v>27959988.32</v>
      </c>
      <c r="O8" s="341">
        <v>2329</v>
      </c>
      <c r="P8" s="240" t="s">
        <v>6</v>
      </c>
      <c r="Q8" s="255">
        <f t="shared" si="0"/>
        <v>12005.147410905969</v>
      </c>
      <c r="R8" s="673">
        <f t="shared" si="4"/>
        <v>-0.7058047072378142</v>
      </c>
      <c r="S8" s="673">
        <f t="shared" si="5"/>
        <v>-1.522198731501057</v>
      </c>
      <c r="T8" s="673">
        <f t="shared" si="6"/>
        <v>0.8290132534918809</v>
      </c>
      <c r="V8" s="348"/>
      <c r="Z8" s="348"/>
      <c r="AA8" s="348"/>
      <c r="AB8" s="348"/>
      <c r="AC8" s="348"/>
    </row>
    <row r="9" spans="1:29" s="42" customFormat="1" ht="24">
      <c r="A9" s="31" t="s">
        <v>95</v>
      </c>
      <c r="B9" s="255">
        <v>21916883.95</v>
      </c>
      <c r="C9" s="255">
        <v>61984.97</v>
      </c>
      <c r="D9" s="255">
        <v>632948.28</v>
      </c>
      <c r="E9" s="255">
        <v>260280.97</v>
      </c>
      <c r="F9" s="255">
        <f t="shared" si="1"/>
        <v>22872098.169999998</v>
      </c>
      <c r="G9" s="341">
        <v>68</v>
      </c>
      <c r="H9" s="240" t="s">
        <v>4</v>
      </c>
      <c r="I9" s="255">
        <f t="shared" si="2"/>
        <v>336354.38485294115</v>
      </c>
      <c r="J9" s="256">
        <v>24299622.03</v>
      </c>
      <c r="K9" s="256">
        <v>78382.05</v>
      </c>
      <c r="L9" s="256">
        <v>561514.98</v>
      </c>
      <c r="M9" s="256">
        <v>235946.69</v>
      </c>
      <c r="N9" s="255">
        <f t="shared" si="3"/>
        <v>25175465.750000004</v>
      </c>
      <c r="O9" s="341">
        <v>73</v>
      </c>
      <c r="P9" s="240" t="s">
        <v>4</v>
      </c>
      <c r="Q9" s="255">
        <f t="shared" si="0"/>
        <v>344869.3938356165</v>
      </c>
      <c r="R9" s="673">
        <f t="shared" si="4"/>
        <v>10.07064399111927</v>
      </c>
      <c r="S9" s="673">
        <f t="shared" si="5"/>
        <v>7.352941176470588</v>
      </c>
      <c r="T9" s="673">
        <f t="shared" si="6"/>
        <v>2.5315587862480835</v>
      </c>
      <c r="V9" s="348"/>
      <c r="Z9" s="348"/>
      <c r="AA9" s="348"/>
      <c r="AB9" s="348"/>
      <c r="AC9" s="348"/>
    </row>
    <row r="10" spans="1:29" s="42" customFormat="1" ht="24">
      <c r="A10" s="177" t="s">
        <v>137</v>
      </c>
      <c r="B10" s="256">
        <v>28479217.91</v>
      </c>
      <c r="C10" s="256">
        <v>98150.87</v>
      </c>
      <c r="D10" s="256">
        <v>921729.1000000001</v>
      </c>
      <c r="E10" s="256">
        <v>13105966.940000001</v>
      </c>
      <c r="F10" s="255">
        <f t="shared" si="1"/>
        <v>42605064.82000001</v>
      </c>
      <c r="G10" s="342">
        <v>1</v>
      </c>
      <c r="H10" s="306" t="s">
        <v>86</v>
      </c>
      <c r="I10" s="255">
        <f t="shared" si="2"/>
        <v>42605064.82000001</v>
      </c>
      <c r="J10" s="256">
        <v>24583180.49</v>
      </c>
      <c r="K10" s="256">
        <v>219674.50999999998</v>
      </c>
      <c r="L10" s="256">
        <v>1125996.07</v>
      </c>
      <c r="M10" s="256">
        <v>13143057.11</v>
      </c>
      <c r="N10" s="255">
        <f t="shared" si="3"/>
        <v>39071908.18</v>
      </c>
      <c r="O10" s="19">
        <v>1</v>
      </c>
      <c r="P10" s="306" t="s">
        <v>86</v>
      </c>
      <c r="Q10" s="255">
        <f t="shared" si="0"/>
        <v>39071908.18</v>
      </c>
      <c r="R10" s="673">
        <f t="shared" si="4"/>
        <v>-8.292808976883531</v>
      </c>
      <c r="S10" s="673">
        <f t="shared" si="5"/>
        <v>0</v>
      </c>
      <c r="T10" s="673">
        <f t="shared" si="6"/>
        <v>-8.292808976883531</v>
      </c>
      <c r="V10" s="348"/>
      <c r="Z10" s="348"/>
      <c r="AA10" s="348"/>
      <c r="AB10" s="348"/>
      <c r="AC10" s="348"/>
    </row>
    <row r="11" spans="1:29" s="42" customFormat="1" ht="24">
      <c r="A11" s="177" t="s">
        <v>411</v>
      </c>
      <c r="B11" s="200">
        <v>23175425.990000002</v>
      </c>
      <c r="C11" s="200">
        <v>56820.56</v>
      </c>
      <c r="D11" s="200">
        <v>352799.03</v>
      </c>
      <c r="E11" s="200">
        <v>81988.15000000001</v>
      </c>
      <c r="F11" s="199">
        <f t="shared" si="1"/>
        <v>23667033.73</v>
      </c>
      <c r="G11" s="655">
        <v>15</v>
      </c>
      <c r="H11" s="306" t="s">
        <v>4</v>
      </c>
      <c r="I11" s="255">
        <f t="shared" si="2"/>
        <v>1577802.2486666667</v>
      </c>
      <c r="J11" s="200">
        <v>19972711.689999998</v>
      </c>
      <c r="K11" s="200">
        <v>71259.42</v>
      </c>
      <c r="L11" s="200">
        <v>272673.16</v>
      </c>
      <c r="M11" s="200">
        <v>72729.35</v>
      </c>
      <c r="N11" s="255">
        <f t="shared" si="3"/>
        <v>20389373.62</v>
      </c>
      <c r="O11" s="19">
        <v>10</v>
      </c>
      <c r="P11" s="306" t="s">
        <v>4</v>
      </c>
      <c r="Q11" s="255">
        <f>+N11/O11</f>
        <v>2038937.3620000002</v>
      </c>
      <c r="R11" s="673">
        <f t="shared" si="4"/>
        <v>-13.849053275507371</v>
      </c>
      <c r="S11" s="673">
        <f t="shared" si="5"/>
        <v>-33.333333333333336</v>
      </c>
      <c r="T11" s="673">
        <f t="shared" si="6"/>
        <v>29.22642008673895</v>
      </c>
      <c r="V11" s="348"/>
      <c r="Z11" s="348"/>
      <c r="AA11" s="348"/>
      <c r="AB11" s="348"/>
      <c r="AC11" s="348"/>
    </row>
    <row r="12" spans="1:29" s="42" customFormat="1" ht="48">
      <c r="A12" s="177" t="s">
        <v>420</v>
      </c>
      <c r="B12" s="200">
        <v>41407416.83</v>
      </c>
      <c r="C12" s="200">
        <v>93840.19</v>
      </c>
      <c r="D12" s="200">
        <v>43961782.61</v>
      </c>
      <c r="E12" s="200">
        <v>182966.73</v>
      </c>
      <c r="F12" s="200">
        <f t="shared" si="1"/>
        <v>85646006.36</v>
      </c>
      <c r="G12" s="655">
        <v>12</v>
      </c>
      <c r="H12" s="306" t="s">
        <v>4</v>
      </c>
      <c r="I12" s="255">
        <f t="shared" si="2"/>
        <v>7137167.196666666</v>
      </c>
      <c r="J12" s="256">
        <v>60550381.2</v>
      </c>
      <c r="K12" s="256">
        <v>1730722.61</v>
      </c>
      <c r="L12" s="256">
        <v>3960037.3400000003</v>
      </c>
      <c r="M12" s="256">
        <v>199087.83000000002</v>
      </c>
      <c r="N12" s="255">
        <f t="shared" si="3"/>
        <v>66440228.980000004</v>
      </c>
      <c r="O12" s="342">
        <v>14</v>
      </c>
      <c r="P12" s="306" t="s">
        <v>4</v>
      </c>
      <c r="Q12" s="256">
        <f>+N12/O12</f>
        <v>4745730.641428572</v>
      </c>
      <c r="R12" s="673">
        <f t="shared" si="4"/>
        <v>-22.424603546920125</v>
      </c>
      <c r="S12" s="673">
        <f t="shared" si="5"/>
        <v>16.666666666666668</v>
      </c>
      <c r="T12" s="673">
        <f t="shared" si="6"/>
        <v>-33.50680304021724</v>
      </c>
      <c r="V12" s="348"/>
      <c r="Z12" s="348"/>
      <c r="AA12" s="348"/>
      <c r="AB12" s="348"/>
      <c r="AC12" s="348"/>
    </row>
    <row r="13" spans="1:20" s="42" customFormat="1" ht="24.75" customHeight="1" thickBot="1">
      <c r="A13" s="127" t="s">
        <v>64</v>
      </c>
      <c r="B13" s="86">
        <f>SUM(B5:B12)</f>
        <v>650912478.32</v>
      </c>
      <c r="C13" s="86">
        <f>SUM(C5:C12)</f>
        <v>5226768.199999999</v>
      </c>
      <c r="D13" s="86">
        <f>SUM(D5:D12)</f>
        <v>106385868.92999998</v>
      </c>
      <c r="E13" s="86">
        <f>SUM(E5:E12)</f>
        <v>29186122.25</v>
      </c>
      <c r="F13" s="86">
        <f>SUM(F5:F12)</f>
        <v>791711237.7</v>
      </c>
      <c r="G13" s="36"/>
      <c r="H13" s="36"/>
      <c r="I13" s="257"/>
      <c r="J13" s="308">
        <f>SUM(J5:J12)</f>
        <v>687123096.8500001</v>
      </c>
      <c r="K13" s="308">
        <f>SUM(K5:K12)</f>
        <v>14995981.03</v>
      </c>
      <c r="L13" s="308">
        <f>SUM(L5:L12)</f>
        <v>29053890.91</v>
      </c>
      <c r="M13" s="308">
        <f>SUM(M5:M12)</f>
        <v>27080616.799999997</v>
      </c>
      <c r="N13" s="308">
        <f>SUM(N5:N12)</f>
        <v>758253585.59</v>
      </c>
      <c r="O13" s="257"/>
      <c r="P13" s="257"/>
      <c r="Q13" s="257"/>
      <c r="R13" s="674"/>
      <c r="S13" s="674"/>
      <c r="T13" s="674"/>
    </row>
    <row r="14" spans="1:20" s="42" customFormat="1" ht="24.75" thickTop="1">
      <c r="A14" s="37"/>
      <c r="B14" s="37"/>
      <c r="C14" s="37"/>
      <c r="D14" s="37"/>
      <c r="E14" s="37"/>
      <c r="F14" s="37"/>
      <c r="G14" s="37"/>
      <c r="H14" s="37"/>
      <c r="I14" s="37"/>
      <c r="J14" s="38"/>
      <c r="K14" s="39"/>
      <c r="L14" s="38"/>
      <c r="M14" s="38"/>
      <c r="N14" s="38"/>
      <c r="O14" s="38"/>
      <c r="P14" s="38"/>
      <c r="Q14" s="23"/>
      <c r="R14" s="670"/>
      <c r="S14" s="670"/>
      <c r="T14" s="670"/>
    </row>
    <row r="15" spans="1:20" s="42" customFormat="1" ht="24">
      <c r="A15" s="45"/>
      <c r="B15" s="143"/>
      <c r="C15" s="143"/>
      <c r="D15" s="143"/>
      <c r="E15" s="143"/>
      <c r="F15" s="143"/>
      <c r="G15" s="45"/>
      <c r="H15" s="45"/>
      <c r="I15" s="45"/>
      <c r="J15" s="144"/>
      <c r="K15" s="144"/>
      <c r="L15" s="145"/>
      <c r="M15" s="145"/>
      <c r="N15" s="145"/>
      <c r="O15" s="38"/>
      <c r="P15" s="38"/>
      <c r="Q15" s="23"/>
      <c r="R15" s="670"/>
      <c r="S15" s="670"/>
      <c r="T15" s="670"/>
    </row>
    <row r="16" spans="1:20" s="42" customFormat="1" ht="24">
      <c r="A16" s="47"/>
      <c r="B16" s="146"/>
      <c r="C16" s="146"/>
      <c r="D16" s="146"/>
      <c r="E16" s="146"/>
      <c r="F16" s="146"/>
      <c r="G16" s="47"/>
      <c r="H16" s="47"/>
      <c r="I16" s="47"/>
      <c r="J16" s="146"/>
      <c r="K16" s="146"/>
      <c r="L16" s="146"/>
      <c r="M16" s="146"/>
      <c r="N16" s="146"/>
      <c r="O16" s="38"/>
      <c r="P16" s="38"/>
      <c r="Q16" s="23"/>
      <c r="R16" s="670"/>
      <c r="S16" s="670"/>
      <c r="T16" s="670"/>
    </row>
    <row r="17" spans="1:20" s="42" customFormat="1" ht="24">
      <c r="A17" s="47"/>
      <c r="B17" s="47"/>
      <c r="C17" s="47"/>
      <c r="D17" s="47"/>
      <c r="E17" s="47"/>
      <c r="F17" s="47"/>
      <c r="G17" s="47"/>
      <c r="H17" s="47"/>
      <c r="I17" s="47"/>
      <c r="J17" s="46"/>
      <c r="K17" s="48"/>
      <c r="L17" s="38"/>
      <c r="M17" s="38"/>
      <c r="N17" s="38"/>
      <c r="O17" s="38"/>
      <c r="P17" s="38"/>
      <c r="Q17" s="23"/>
      <c r="R17" s="670"/>
      <c r="S17" s="670"/>
      <c r="T17" s="670"/>
    </row>
    <row r="18" spans="1:20" s="42" customFormat="1" ht="24">
      <c r="A18" s="47"/>
      <c r="B18" s="47"/>
      <c r="C18" s="47"/>
      <c r="D18" s="47"/>
      <c r="E18" s="47"/>
      <c r="F18" s="47"/>
      <c r="G18" s="47"/>
      <c r="H18" s="47"/>
      <c r="I18" s="47"/>
      <c r="J18" s="46"/>
      <c r="K18" s="48"/>
      <c r="L18" s="38"/>
      <c r="M18" s="38"/>
      <c r="N18" s="38"/>
      <c r="O18" s="38"/>
      <c r="P18" s="38"/>
      <c r="Q18" s="23"/>
      <c r="R18" s="670"/>
      <c r="S18" s="670"/>
      <c r="T18" s="670"/>
    </row>
    <row r="19" spans="1:20" s="42" customFormat="1" ht="24">
      <c r="A19" s="47"/>
      <c r="B19" s="47"/>
      <c r="C19" s="47"/>
      <c r="D19" s="47"/>
      <c r="E19" s="47"/>
      <c r="F19" s="47"/>
      <c r="G19" s="47"/>
      <c r="H19" s="47"/>
      <c r="I19" s="47"/>
      <c r="J19" s="46"/>
      <c r="K19" s="48"/>
      <c r="L19" s="38"/>
      <c r="M19" s="38"/>
      <c r="N19" s="38"/>
      <c r="O19" s="38"/>
      <c r="P19" s="38"/>
      <c r="Q19" s="23"/>
      <c r="R19" s="670"/>
      <c r="S19" s="670"/>
      <c r="T19" s="670"/>
    </row>
    <row r="20" spans="1:20" s="42" customFormat="1" ht="24">
      <c r="A20" s="45"/>
      <c r="B20" s="45"/>
      <c r="C20" s="45"/>
      <c r="D20" s="45"/>
      <c r="E20" s="45"/>
      <c r="F20" s="45"/>
      <c r="G20" s="45"/>
      <c r="H20" s="45"/>
      <c r="I20" s="45"/>
      <c r="J20" s="46"/>
      <c r="K20" s="46"/>
      <c r="L20" s="38"/>
      <c r="M20" s="38"/>
      <c r="N20" s="38"/>
      <c r="O20" s="38"/>
      <c r="P20" s="38"/>
      <c r="Q20" s="23"/>
      <c r="R20" s="670"/>
      <c r="S20" s="670"/>
      <c r="T20" s="670"/>
    </row>
    <row r="21" spans="1:20" s="42" customFormat="1" ht="24">
      <c r="A21" s="45"/>
      <c r="B21" s="45"/>
      <c r="C21" s="45"/>
      <c r="D21" s="45"/>
      <c r="E21" s="45"/>
      <c r="F21" s="45"/>
      <c r="G21" s="45"/>
      <c r="H21" s="45"/>
      <c r="I21" s="45"/>
      <c r="J21" s="46"/>
      <c r="K21" s="46"/>
      <c r="L21" s="38"/>
      <c r="M21" s="38"/>
      <c r="N21" s="38"/>
      <c r="O21" s="38"/>
      <c r="P21" s="38"/>
      <c r="Q21" s="23"/>
      <c r="R21" s="670"/>
      <c r="S21" s="670"/>
      <c r="T21" s="670"/>
    </row>
    <row r="22" spans="1:20" s="42" customFormat="1" ht="24">
      <c r="A22" s="47"/>
      <c r="B22" s="47"/>
      <c r="C22" s="47"/>
      <c r="D22" s="47"/>
      <c r="E22" s="47"/>
      <c r="F22" s="47"/>
      <c r="G22" s="47"/>
      <c r="H22" s="47"/>
      <c r="I22" s="47"/>
      <c r="J22" s="46"/>
      <c r="K22" s="48"/>
      <c r="L22" s="38"/>
      <c r="M22" s="38"/>
      <c r="N22" s="38"/>
      <c r="O22" s="38"/>
      <c r="P22" s="38"/>
      <c r="Q22" s="23"/>
      <c r="R22" s="670"/>
      <c r="S22" s="670"/>
      <c r="T22" s="670"/>
    </row>
    <row r="23" spans="1:20" s="42" customFormat="1" ht="24">
      <c r="A23" s="47"/>
      <c r="B23" s="47"/>
      <c r="C23" s="47"/>
      <c r="D23" s="47"/>
      <c r="E23" s="47"/>
      <c r="F23" s="47"/>
      <c r="G23" s="47"/>
      <c r="H23" s="47"/>
      <c r="I23" s="47"/>
      <c r="J23" s="46"/>
      <c r="K23" s="46"/>
      <c r="L23" s="38"/>
      <c r="M23" s="38"/>
      <c r="N23" s="38"/>
      <c r="O23" s="38"/>
      <c r="P23" s="38"/>
      <c r="Q23" s="23"/>
      <c r="R23" s="670"/>
      <c r="S23" s="670"/>
      <c r="T23" s="670"/>
    </row>
    <row r="24" spans="1:20" s="42" customFormat="1" ht="24">
      <c r="A24" s="47"/>
      <c r="B24" s="47"/>
      <c r="C24" s="47"/>
      <c r="D24" s="47"/>
      <c r="E24" s="47"/>
      <c r="F24" s="47"/>
      <c r="G24" s="47"/>
      <c r="H24" s="47"/>
      <c r="I24" s="47"/>
      <c r="J24" s="46"/>
      <c r="K24" s="48"/>
      <c r="L24" s="38"/>
      <c r="M24" s="38"/>
      <c r="N24" s="38"/>
      <c r="O24" s="38"/>
      <c r="P24" s="38"/>
      <c r="Q24" s="23"/>
      <c r="R24" s="670"/>
      <c r="S24" s="670"/>
      <c r="T24" s="670"/>
    </row>
    <row r="25" spans="1:20" s="42" customFormat="1" ht="24">
      <c r="A25" s="47"/>
      <c r="B25" s="47"/>
      <c r="C25" s="47"/>
      <c r="D25" s="47"/>
      <c r="E25" s="47"/>
      <c r="F25" s="47"/>
      <c r="G25" s="47"/>
      <c r="H25" s="47"/>
      <c r="I25" s="47"/>
      <c r="J25" s="46"/>
      <c r="K25" s="46"/>
      <c r="L25" s="38"/>
      <c r="M25" s="38"/>
      <c r="N25" s="38"/>
      <c r="O25" s="38"/>
      <c r="P25" s="38"/>
      <c r="Q25" s="23"/>
      <c r="R25" s="670"/>
      <c r="S25" s="670"/>
      <c r="T25" s="670"/>
    </row>
    <row r="26" spans="1:20" s="42" customFormat="1" ht="24">
      <c r="A26" s="37"/>
      <c r="B26" s="37"/>
      <c r="C26" s="37"/>
      <c r="D26" s="37"/>
      <c r="E26" s="37"/>
      <c r="F26" s="37"/>
      <c r="G26" s="37"/>
      <c r="H26" s="37"/>
      <c r="I26" s="37"/>
      <c r="J26" s="38"/>
      <c r="K26" s="39"/>
      <c r="L26" s="38"/>
      <c r="M26" s="38"/>
      <c r="N26" s="38"/>
      <c r="O26" s="38"/>
      <c r="P26" s="38"/>
      <c r="Q26" s="23"/>
      <c r="R26" s="670"/>
      <c r="S26" s="670"/>
      <c r="T26" s="670"/>
    </row>
    <row r="27" spans="1:20" s="42" customFormat="1" ht="24">
      <c r="A27" s="37"/>
      <c r="B27" s="37"/>
      <c r="C27" s="37"/>
      <c r="D27" s="37"/>
      <c r="E27" s="37"/>
      <c r="F27" s="37"/>
      <c r="G27" s="37"/>
      <c r="H27" s="37"/>
      <c r="I27" s="37"/>
      <c r="J27" s="38"/>
      <c r="K27" s="38"/>
      <c r="L27" s="38"/>
      <c r="M27" s="38"/>
      <c r="N27" s="38"/>
      <c r="O27" s="38"/>
      <c r="P27" s="38"/>
      <c r="Q27" s="23"/>
      <c r="R27" s="670"/>
      <c r="S27" s="670"/>
      <c r="T27" s="670"/>
    </row>
    <row r="28" spans="1:20" s="42" customFormat="1" ht="24">
      <c r="A28" s="37"/>
      <c r="B28" s="37"/>
      <c r="C28" s="37"/>
      <c r="D28" s="37"/>
      <c r="E28" s="37"/>
      <c r="F28" s="37"/>
      <c r="G28" s="37"/>
      <c r="H28" s="37"/>
      <c r="I28" s="37"/>
      <c r="J28" s="38"/>
      <c r="K28" s="38"/>
      <c r="L28" s="38"/>
      <c r="M28" s="38"/>
      <c r="N28" s="38"/>
      <c r="O28" s="38"/>
      <c r="P28" s="38"/>
      <c r="Q28" s="23"/>
      <c r="R28" s="670"/>
      <c r="S28" s="670"/>
      <c r="T28" s="670"/>
    </row>
    <row r="29" spans="1:20" s="42" customFormat="1" ht="24">
      <c r="A29" s="37"/>
      <c r="B29" s="37"/>
      <c r="C29" s="37"/>
      <c r="D29" s="37"/>
      <c r="E29" s="37"/>
      <c r="F29" s="37"/>
      <c r="G29" s="37"/>
      <c r="H29" s="37"/>
      <c r="I29" s="37"/>
      <c r="J29" s="38"/>
      <c r="K29" s="38"/>
      <c r="L29" s="38"/>
      <c r="M29" s="38"/>
      <c r="N29" s="38"/>
      <c r="O29" s="38"/>
      <c r="P29" s="38"/>
      <c r="Q29" s="23"/>
      <c r="R29" s="670"/>
      <c r="S29" s="670"/>
      <c r="T29" s="670"/>
    </row>
    <row r="30" spans="1:20" s="42" customFormat="1" ht="24">
      <c r="A30" s="37"/>
      <c r="B30" s="37"/>
      <c r="C30" s="37"/>
      <c r="D30" s="37"/>
      <c r="E30" s="37"/>
      <c r="F30" s="37"/>
      <c r="G30" s="37"/>
      <c r="H30" s="37"/>
      <c r="I30" s="37"/>
      <c r="J30" s="38"/>
      <c r="K30" s="38"/>
      <c r="L30" s="38"/>
      <c r="M30" s="38"/>
      <c r="N30" s="38"/>
      <c r="O30" s="38"/>
      <c r="P30" s="38"/>
      <c r="Q30" s="23"/>
      <c r="R30" s="670"/>
      <c r="S30" s="670"/>
      <c r="T30" s="670"/>
    </row>
    <row r="31" spans="1:20" s="42" customFormat="1" ht="24">
      <c r="A31" s="37"/>
      <c r="B31" s="37"/>
      <c r="C31" s="37"/>
      <c r="D31" s="37"/>
      <c r="E31" s="37"/>
      <c r="F31" s="37"/>
      <c r="G31" s="37"/>
      <c r="H31" s="37"/>
      <c r="I31" s="37"/>
      <c r="J31" s="38"/>
      <c r="K31" s="38"/>
      <c r="L31" s="38"/>
      <c r="M31" s="38"/>
      <c r="N31" s="38"/>
      <c r="O31" s="38"/>
      <c r="P31" s="38"/>
      <c r="Q31" s="23"/>
      <c r="R31" s="670"/>
      <c r="S31" s="670"/>
      <c r="T31" s="670"/>
    </row>
    <row r="32" spans="1:20" s="42" customFormat="1" ht="24">
      <c r="A32" s="37"/>
      <c r="B32" s="37"/>
      <c r="C32" s="37"/>
      <c r="D32" s="37"/>
      <c r="E32" s="37"/>
      <c r="F32" s="37"/>
      <c r="G32" s="37"/>
      <c r="H32" s="37"/>
      <c r="I32" s="37"/>
      <c r="J32" s="38"/>
      <c r="K32" s="38"/>
      <c r="L32" s="38"/>
      <c r="M32" s="38"/>
      <c r="N32" s="38"/>
      <c r="O32" s="38"/>
      <c r="P32" s="38"/>
      <c r="Q32" s="23"/>
      <c r="R32" s="670"/>
      <c r="S32" s="670"/>
      <c r="T32" s="670"/>
    </row>
    <row r="33" spans="1:20" s="42" customFormat="1" ht="24">
      <c r="A33" s="37"/>
      <c r="B33" s="37"/>
      <c r="C33" s="37"/>
      <c r="D33" s="37"/>
      <c r="E33" s="37"/>
      <c r="F33" s="37"/>
      <c r="G33" s="37"/>
      <c r="H33" s="37"/>
      <c r="I33" s="37"/>
      <c r="J33" s="38"/>
      <c r="K33" s="38"/>
      <c r="L33" s="38"/>
      <c r="M33" s="38"/>
      <c r="N33" s="38"/>
      <c r="O33" s="38"/>
      <c r="P33" s="38"/>
      <c r="Q33" s="23"/>
      <c r="R33" s="670"/>
      <c r="S33" s="670"/>
      <c r="T33" s="670"/>
    </row>
    <row r="34" spans="1:16" ht="24">
      <c r="A34" s="49"/>
      <c r="B34" s="49"/>
      <c r="C34" s="49"/>
      <c r="D34" s="49"/>
      <c r="E34" s="49"/>
      <c r="F34" s="49"/>
      <c r="G34" s="49"/>
      <c r="H34" s="49"/>
      <c r="I34" s="49"/>
      <c r="J34" s="38"/>
      <c r="K34" s="38"/>
      <c r="L34" s="38"/>
      <c r="M34" s="38"/>
      <c r="N34" s="51"/>
      <c r="O34" s="51"/>
      <c r="P34" s="51"/>
    </row>
    <row r="35" spans="1:16" ht="24">
      <c r="A35" s="49"/>
      <c r="B35" s="49"/>
      <c r="C35" s="49"/>
      <c r="D35" s="49"/>
      <c r="E35" s="49"/>
      <c r="F35" s="49"/>
      <c r="G35" s="49"/>
      <c r="H35" s="49"/>
      <c r="I35" s="49"/>
      <c r="J35" s="50"/>
      <c r="K35" s="51"/>
      <c r="L35" s="51"/>
      <c r="M35" s="51"/>
      <c r="N35" s="51"/>
      <c r="O35" s="51"/>
      <c r="P35" s="51"/>
    </row>
    <row r="36" spans="1:16" ht="24">
      <c r="A36" s="49"/>
      <c r="B36" s="49"/>
      <c r="C36" s="49"/>
      <c r="D36" s="49"/>
      <c r="E36" s="49"/>
      <c r="F36" s="49"/>
      <c r="G36" s="49"/>
      <c r="H36" s="49"/>
      <c r="I36" s="49"/>
      <c r="J36" s="50"/>
      <c r="K36" s="51"/>
      <c r="L36" s="51"/>
      <c r="M36" s="51"/>
      <c r="N36" s="51"/>
      <c r="O36" s="51"/>
      <c r="P36" s="51"/>
    </row>
    <row r="37" spans="1:16" ht="24">
      <c r="A37" s="49"/>
      <c r="B37" s="49"/>
      <c r="C37" s="49"/>
      <c r="D37" s="49"/>
      <c r="E37" s="49"/>
      <c r="F37" s="49"/>
      <c r="G37" s="49"/>
      <c r="H37" s="49"/>
      <c r="I37" s="49"/>
      <c r="J37" s="50"/>
      <c r="K37" s="51"/>
      <c r="L37" s="51"/>
      <c r="M37" s="51"/>
      <c r="N37" s="51"/>
      <c r="O37" s="51"/>
      <c r="P37" s="51"/>
    </row>
    <row r="38" spans="1:10" ht="24">
      <c r="A38" s="52"/>
      <c r="B38" s="52"/>
      <c r="C38" s="52"/>
      <c r="D38" s="52"/>
      <c r="E38" s="52"/>
      <c r="F38" s="52"/>
      <c r="G38" s="52"/>
      <c r="H38" s="52"/>
      <c r="I38" s="52"/>
      <c r="J38" s="53"/>
    </row>
    <row r="39" spans="1:11" ht="24">
      <c r="A39" s="52"/>
      <c r="B39" s="52"/>
      <c r="C39" s="52"/>
      <c r="D39" s="52"/>
      <c r="E39" s="52"/>
      <c r="F39" s="52"/>
      <c r="G39" s="52"/>
      <c r="H39" s="52"/>
      <c r="I39" s="52"/>
      <c r="J39" s="55"/>
      <c r="K39" s="55"/>
    </row>
    <row r="40" spans="2:6" ht="24">
      <c r="B40" s="56"/>
      <c r="C40" s="56"/>
      <c r="D40" s="56"/>
      <c r="E40" s="56"/>
      <c r="F40" s="56"/>
    </row>
    <row r="41" spans="2:6" ht="24">
      <c r="B41" s="56"/>
      <c r="C41" s="56"/>
      <c r="D41" s="56"/>
      <c r="E41" s="56"/>
      <c r="F41" s="56"/>
    </row>
    <row r="42" spans="2:6" ht="24">
      <c r="B42" s="56"/>
      <c r="C42" s="56"/>
      <c r="D42" s="56"/>
      <c r="E42" s="56"/>
      <c r="F42" s="56"/>
    </row>
  </sheetData>
  <sheetProtection/>
  <mergeCells count="5">
    <mergeCell ref="J3:Q3"/>
    <mergeCell ref="R3:T3"/>
    <mergeCell ref="A1:T1"/>
    <mergeCell ref="B3:I3"/>
    <mergeCell ref="A3:A4"/>
  </mergeCells>
  <printOptions horizontalCentered="1"/>
  <pageMargins left="0.196850393700787" right="0.196850393700787" top="0.840551181" bottom="0" header="0.511811023622047" footer="0.511811023622047"/>
  <pageSetup orientation="landscape" paperSize="5" scale="5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5" sqref="A5:P5"/>
    </sheetView>
  </sheetViews>
  <sheetFormatPr defaultColWidth="9.140625" defaultRowHeight="12.75"/>
  <cols>
    <col min="1" max="1" width="9.140625" style="27" customWidth="1"/>
    <col min="2" max="2" width="6.7109375" style="27" customWidth="1"/>
    <col min="3" max="16" width="9.140625" style="27" customWidth="1"/>
    <col min="17" max="17" width="11.421875" style="27" customWidth="1"/>
    <col min="18" max="16384" width="9.140625" style="27" customWidth="1"/>
  </cols>
  <sheetData>
    <row r="1" spans="1:2" ht="24">
      <c r="A1" s="84" t="s">
        <v>49</v>
      </c>
      <c r="B1" s="27" t="s">
        <v>52</v>
      </c>
    </row>
    <row r="2" ht="24">
      <c r="A2" s="84"/>
    </row>
    <row r="3" spans="1:16" s="153" customFormat="1" ht="123.75" customHeight="1">
      <c r="A3" s="725" t="s">
        <v>458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</row>
    <row r="4" spans="1:16" s="153" customFormat="1" ht="124.5" customHeight="1">
      <c r="A4" s="725" t="s">
        <v>423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</row>
    <row r="5" spans="1:16" s="153" customFormat="1" ht="121.5" customHeight="1">
      <c r="A5" s="725" t="s">
        <v>428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</row>
    <row r="6" spans="1:16" s="153" customFormat="1" ht="109.5" customHeight="1">
      <c r="A6" s="725" t="s">
        <v>444</v>
      </c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</row>
    <row r="22" ht="24" hidden="1"/>
    <row r="23" spans="1:3" ht="24" hidden="1">
      <c r="A23" s="84" t="s">
        <v>13</v>
      </c>
      <c r="C23" s="27" t="s">
        <v>211</v>
      </c>
    </row>
    <row r="24" ht="24" customHeight="1" hidden="1">
      <c r="A24" s="27" t="s">
        <v>212</v>
      </c>
    </row>
    <row r="25" ht="24" customHeight="1" hidden="1">
      <c r="A25" s="194" t="s">
        <v>201</v>
      </c>
    </row>
    <row r="26" ht="24" customHeight="1" hidden="1"/>
    <row r="27" spans="1:3" ht="24" hidden="1">
      <c r="A27" s="84" t="s">
        <v>13</v>
      </c>
      <c r="C27" s="27" t="s">
        <v>219</v>
      </c>
    </row>
    <row r="28" spans="1:15" ht="24" hidden="1">
      <c r="A28" s="54" t="s">
        <v>223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24" hidden="1">
      <c r="A29" s="54" t="s">
        <v>220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24" hidden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ht="24" hidden="1"/>
  </sheetData>
  <sheetProtection/>
  <mergeCells count="4">
    <mergeCell ref="A3:P3"/>
    <mergeCell ref="A4:P4"/>
    <mergeCell ref="A6:P6"/>
    <mergeCell ref="A5:P5"/>
  </mergeCells>
  <printOptions horizontalCentered="1"/>
  <pageMargins left="0.65" right="0.19" top="0.69" bottom="0.15" header="0.511811023622047" footer="0.76181102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6"/>
  <sheetViews>
    <sheetView zoomScale="85" zoomScaleNormal="85" zoomScaleSheetLayoutView="131" zoomScalePageLayoutView="0" workbookViewId="0" topLeftCell="A1">
      <selection activeCell="A20" sqref="A20:IV23"/>
    </sheetView>
  </sheetViews>
  <sheetFormatPr defaultColWidth="9.140625" defaultRowHeight="12.75"/>
  <cols>
    <col min="1" max="1" width="41.7109375" style="40" customWidth="1"/>
    <col min="2" max="2" width="17.7109375" style="40" bestFit="1" customWidth="1"/>
    <col min="3" max="3" width="18.7109375" style="40" bestFit="1" customWidth="1"/>
    <col min="4" max="5" width="16.421875" style="40" bestFit="1" customWidth="1"/>
    <col min="6" max="6" width="17.7109375" style="40" bestFit="1" customWidth="1"/>
    <col min="7" max="7" width="10.7109375" style="90" customWidth="1"/>
    <col min="8" max="8" width="9.7109375" style="90" customWidth="1"/>
    <col min="9" max="9" width="16.8515625" style="40" customWidth="1"/>
    <col min="10" max="10" width="17.140625" style="23" customWidth="1"/>
    <col min="11" max="11" width="18.7109375" style="23" bestFit="1" customWidth="1"/>
    <col min="12" max="12" width="17.7109375" style="23" bestFit="1" customWidth="1"/>
    <col min="13" max="13" width="16.421875" style="23" bestFit="1" customWidth="1"/>
    <col min="14" max="14" width="17.7109375" style="23" bestFit="1" customWidth="1"/>
    <col min="15" max="15" width="10.421875" style="20" customWidth="1"/>
    <col min="16" max="16" width="9.8515625" style="20" bestFit="1" customWidth="1"/>
    <col min="17" max="17" width="14.8515625" style="23" bestFit="1" customWidth="1"/>
    <col min="18" max="18" width="11.421875" style="670" customWidth="1"/>
    <col min="19" max="19" width="11.00390625" style="670" customWidth="1"/>
    <col min="20" max="20" width="11.57421875" style="670" bestFit="1" customWidth="1"/>
    <col min="21" max="16384" width="9.140625" style="23" customWidth="1"/>
  </cols>
  <sheetData>
    <row r="1" spans="1:20" ht="27.75">
      <c r="A1" s="726" t="s">
        <v>395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</row>
    <row r="2" spans="1:9" ht="24">
      <c r="A2" s="13" t="s">
        <v>188</v>
      </c>
      <c r="B2" s="13"/>
      <c r="C2" s="13"/>
      <c r="D2" s="13"/>
      <c r="E2" s="13"/>
      <c r="F2" s="13"/>
      <c r="G2" s="85"/>
      <c r="H2" s="85"/>
      <c r="I2" s="13"/>
    </row>
    <row r="3" spans="1:20" ht="24">
      <c r="A3" s="100"/>
      <c r="B3" s="691" t="s">
        <v>380</v>
      </c>
      <c r="C3" s="692"/>
      <c r="D3" s="692"/>
      <c r="E3" s="692"/>
      <c r="F3" s="692"/>
      <c r="G3" s="692"/>
      <c r="H3" s="692"/>
      <c r="I3" s="693"/>
      <c r="J3" s="691" t="s">
        <v>394</v>
      </c>
      <c r="K3" s="692"/>
      <c r="L3" s="692"/>
      <c r="M3" s="692"/>
      <c r="N3" s="692"/>
      <c r="O3" s="692"/>
      <c r="P3" s="692"/>
      <c r="Q3" s="693"/>
      <c r="R3" s="721" t="s">
        <v>46</v>
      </c>
      <c r="S3" s="721"/>
      <c r="T3" s="721"/>
    </row>
    <row r="4" spans="1:20" s="18" customFormat="1" ht="120">
      <c r="A4" s="30" t="s">
        <v>19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11</v>
      </c>
      <c r="G4" s="16" t="s">
        <v>9</v>
      </c>
      <c r="H4" s="16" t="s">
        <v>10</v>
      </c>
      <c r="I4" s="17" t="s">
        <v>12</v>
      </c>
      <c r="J4" s="15" t="s">
        <v>0</v>
      </c>
      <c r="K4" s="15" t="s">
        <v>1</v>
      </c>
      <c r="L4" s="15" t="s">
        <v>2</v>
      </c>
      <c r="M4" s="15" t="s">
        <v>3</v>
      </c>
      <c r="N4" s="15" t="s">
        <v>11</v>
      </c>
      <c r="O4" s="16" t="s">
        <v>9</v>
      </c>
      <c r="P4" s="16" t="s">
        <v>10</v>
      </c>
      <c r="Q4" s="17" t="s">
        <v>12</v>
      </c>
      <c r="R4" s="671" t="s">
        <v>43</v>
      </c>
      <c r="S4" s="671" t="s">
        <v>44</v>
      </c>
      <c r="T4" s="672" t="s">
        <v>45</v>
      </c>
    </row>
    <row r="5" spans="1:22" s="18" customFormat="1" ht="48">
      <c r="A5" s="31" t="s">
        <v>352</v>
      </c>
      <c r="B5" s="200">
        <v>269118550.1</v>
      </c>
      <c r="C5" s="200">
        <v>0</v>
      </c>
      <c r="D5" s="200">
        <v>5471223.6899999995</v>
      </c>
      <c r="E5" s="200">
        <v>0</v>
      </c>
      <c r="F5" s="199">
        <f>SUM(B5:E5)</f>
        <v>274589773.79</v>
      </c>
      <c r="G5" s="637">
        <v>450</v>
      </c>
      <c r="H5" s="576" t="s">
        <v>6</v>
      </c>
      <c r="I5" s="32">
        <f>+F5/G5</f>
        <v>610199.4973111112</v>
      </c>
      <c r="J5" s="305">
        <v>278891055.29999995</v>
      </c>
      <c r="K5" s="199">
        <v>0</v>
      </c>
      <c r="L5" s="199">
        <v>5377699.609999999</v>
      </c>
      <c r="M5" s="199">
        <v>0</v>
      </c>
      <c r="N5" s="305">
        <f>SUM(J5:M5)</f>
        <v>284268754.90999997</v>
      </c>
      <c r="O5" s="642">
        <v>443</v>
      </c>
      <c r="P5" s="576" t="s">
        <v>6</v>
      </c>
      <c r="Q5" s="32">
        <f>+N5/O5</f>
        <v>641690.1916704288</v>
      </c>
      <c r="R5" s="676">
        <f>(N5-F5)*100/F5</f>
        <v>3.5248876847839967</v>
      </c>
      <c r="S5" s="676">
        <f>(O5-G5)*100/G5</f>
        <v>-1.5555555555555556</v>
      </c>
      <c r="T5" s="676">
        <f>(Q5-I5)*100/I5</f>
        <v>5.160721124498416</v>
      </c>
      <c r="V5" s="614"/>
    </row>
    <row r="6" spans="1:22" s="18" customFormat="1" ht="48">
      <c r="A6" s="31" t="s">
        <v>353</v>
      </c>
      <c r="B6" s="200">
        <v>98934784.05</v>
      </c>
      <c r="C6" s="200">
        <v>1509900.19</v>
      </c>
      <c r="D6" s="200">
        <v>51844928.95</v>
      </c>
      <c r="E6" s="200">
        <v>6780287.22</v>
      </c>
      <c r="F6" s="199">
        <f aca="true" t="shared" si="0" ref="F6:F17">SUM(B6:E6)</f>
        <v>159069900.41</v>
      </c>
      <c r="G6" s="637">
        <v>463</v>
      </c>
      <c r="H6" s="576" t="s">
        <v>5</v>
      </c>
      <c r="I6" s="32">
        <f aca="true" t="shared" si="1" ref="I6:I17">+F6/G6</f>
        <v>343563.4998056155</v>
      </c>
      <c r="J6" s="305">
        <v>116482851.61000003</v>
      </c>
      <c r="K6" s="305">
        <v>3605383.7</v>
      </c>
      <c r="L6" s="305">
        <v>12978571.910000002</v>
      </c>
      <c r="M6" s="305">
        <v>8331086.609999998</v>
      </c>
      <c r="N6" s="305">
        <f aca="true" t="shared" si="2" ref="N6:N17">SUM(J6:M6)</f>
        <v>141397893.83</v>
      </c>
      <c r="O6" s="275">
        <v>519</v>
      </c>
      <c r="P6" s="576" t="s">
        <v>5</v>
      </c>
      <c r="Q6" s="32">
        <f aca="true" t="shared" si="3" ref="Q6:Q17">+N6/O6</f>
        <v>272442.95535645477</v>
      </c>
      <c r="R6" s="676">
        <f aca="true" t="shared" si="4" ref="R6:R17">(N6-F6)*100/F6</f>
        <v>-11.109585493201847</v>
      </c>
      <c r="S6" s="676">
        <f aca="true" t="shared" si="5" ref="S6:S17">(O6-G6)*100/G6</f>
        <v>12.095032397408207</v>
      </c>
      <c r="T6" s="676">
        <f aca="true" t="shared" si="6" ref="T6:T17">(Q6-I6)*100/I6</f>
        <v>-20.700844091237858</v>
      </c>
      <c r="V6" s="614"/>
    </row>
    <row r="7" spans="1:22" s="575" customFormat="1" ht="48" hidden="1">
      <c r="A7" s="596" t="s">
        <v>354</v>
      </c>
      <c r="B7" s="597">
        <v>0</v>
      </c>
      <c r="C7" s="597">
        <v>0</v>
      </c>
      <c r="D7" s="597">
        <v>0</v>
      </c>
      <c r="E7" s="597">
        <v>0</v>
      </c>
      <c r="F7" s="597">
        <f t="shared" si="0"/>
        <v>0</v>
      </c>
      <c r="G7" s="598"/>
      <c r="H7" s="599" t="s">
        <v>4</v>
      </c>
      <c r="I7" s="632" t="e">
        <f t="shared" si="1"/>
        <v>#DIV/0!</v>
      </c>
      <c r="J7" s="597"/>
      <c r="K7" s="597"/>
      <c r="L7" s="597"/>
      <c r="M7" s="597"/>
      <c r="N7" s="634"/>
      <c r="O7" s="564"/>
      <c r="P7" s="599" t="s">
        <v>4</v>
      </c>
      <c r="Q7" s="632" t="e">
        <f t="shared" si="3"/>
        <v>#DIV/0!</v>
      </c>
      <c r="R7" s="676" t="e">
        <f t="shared" si="4"/>
        <v>#DIV/0!</v>
      </c>
      <c r="S7" s="676" t="e">
        <f t="shared" si="5"/>
        <v>#DIV/0!</v>
      </c>
      <c r="T7" s="676" t="e">
        <f t="shared" si="6"/>
        <v>#DIV/0!</v>
      </c>
      <c r="V7" s="635"/>
    </row>
    <row r="8" spans="1:22" ht="48">
      <c r="A8" s="31" t="s">
        <v>412</v>
      </c>
      <c r="B8" s="255">
        <v>155309807.76</v>
      </c>
      <c r="C8" s="255">
        <v>3237329.2</v>
      </c>
      <c r="D8" s="255">
        <v>923665.91</v>
      </c>
      <c r="E8" s="255">
        <v>4026118.55</v>
      </c>
      <c r="F8" s="199">
        <f t="shared" si="0"/>
        <v>163496921.42</v>
      </c>
      <c r="G8" s="275">
        <v>121</v>
      </c>
      <c r="H8" s="33" t="s">
        <v>4</v>
      </c>
      <c r="I8" s="32">
        <f t="shared" si="1"/>
        <v>1351214.2266115702</v>
      </c>
      <c r="J8" s="255">
        <v>142040227.78</v>
      </c>
      <c r="K8" s="255">
        <v>8983337.83</v>
      </c>
      <c r="L8" s="255">
        <v>1613890.12</v>
      </c>
      <c r="M8" s="255">
        <v>2704558.78</v>
      </c>
      <c r="N8" s="305">
        <v>155342014.51000002</v>
      </c>
      <c r="O8" s="275">
        <v>120</v>
      </c>
      <c r="P8" s="33" t="s">
        <v>4</v>
      </c>
      <c r="Q8" s="32">
        <f t="shared" si="3"/>
        <v>1294516.7875833334</v>
      </c>
      <c r="R8" s="676">
        <f t="shared" si="4"/>
        <v>-4.987804564864673</v>
      </c>
      <c r="S8" s="676">
        <f t="shared" si="5"/>
        <v>-0.8264462809917356</v>
      </c>
      <c r="T8" s="676">
        <f t="shared" si="6"/>
        <v>-4.196036269571889</v>
      </c>
      <c r="V8" s="614"/>
    </row>
    <row r="9" spans="1:22" ht="72">
      <c r="A9" s="31" t="s">
        <v>413</v>
      </c>
      <c r="B9" s="255">
        <v>6651493.41</v>
      </c>
      <c r="C9" s="255">
        <v>61984.97</v>
      </c>
      <c r="D9" s="255">
        <v>527388.14</v>
      </c>
      <c r="E9" s="255">
        <v>88286.84</v>
      </c>
      <c r="F9" s="199">
        <f t="shared" si="0"/>
        <v>7329153.359999999</v>
      </c>
      <c r="G9" s="275">
        <v>35</v>
      </c>
      <c r="H9" s="33" t="s">
        <v>4</v>
      </c>
      <c r="I9" s="32">
        <f t="shared" si="1"/>
        <v>209404.3817142857</v>
      </c>
      <c r="J9" s="255">
        <v>6399992.829999999</v>
      </c>
      <c r="K9" s="255">
        <v>92636.34</v>
      </c>
      <c r="L9" s="255">
        <v>684669.52</v>
      </c>
      <c r="M9" s="255">
        <v>93870.39</v>
      </c>
      <c r="N9" s="305">
        <v>7271169.079999999</v>
      </c>
      <c r="O9" s="275">
        <v>25</v>
      </c>
      <c r="P9" s="33" t="s">
        <v>4</v>
      </c>
      <c r="Q9" s="32">
        <f t="shared" si="3"/>
        <v>290846.7632</v>
      </c>
      <c r="R9" s="676">
        <f t="shared" si="4"/>
        <v>-0.7911456774319737</v>
      </c>
      <c r="S9" s="676">
        <f t="shared" si="5"/>
        <v>-28.571428571428573</v>
      </c>
      <c r="T9" s="676">
        <f t="shared" si="6"/>
        <v>38.89239605159525</v>
      </c>
      <c r="V9" s="614"/>
    </row>
    <row r="10" spans="1:22" ht="24">
      <c r="A10" s="31" t="s">
        <v>414</v>
      </c>
      <c r="B10" s="255">
        <v>9229160.14</v>
      </c>
      <c r="C10" s="255">
        <v>38742.61</v>
      </c>
      <c r="D10" s="255">
        <v>1048788.62</v>
      </c>
      <c r="E10" s="255">
        <v>2305000.01</v>
      </c>
      <c r="F10" s="199">
        <f t="shared" si="0"/>
        <v>12621691.38</v>
      </c>
      <c r="G10" s="275">
        <v>2365</v>
      </c>
      <c r="H10" s="33" t="s">
        <v>6</v>
      </c>
      <c r="I10" s="32">
        <f t="shared" si="1"/>
        <v>5336.867391120508</v>
      </c>
      <c r="J10" s="255">
        <v>9075278.12</v>
      </c>
      <c r="K10" s="255">
        <v>57011.63</v>
      </c>
      <c r="L10" s="255">
        <v>1326257.07</v>
      </c>
      <c r="M10" s="255">
        <v>1093052.44</v>
      </c>
      <c r="N10" s="305">
        <v>11551599.26</v>
      </c>
      <c r="O10" s="275">
        <v>2329</v>
      </c>
      <c r="P10" s="33" t="s">
        <v>6</v>
      </c>
      <c r="Q10" s="32">
        <f t="shared" si="3"/>
        <v>4959.89663374839</v>
      </c>
      <c r="R10" s="676">
        <f t="shared" si="4"/>
        <v>-8.478199060512926</v>
      </c>
      <c r="S10" s="676">
        <f t="shared" si="5"/>
        <v>-1.522198731501057</v>
      </c>
      <c r="T10" s="676">
        <f t="shared" si="6"/>
        <v>-7.063521158485646</v>
      </c>
      <c r="V10" s="614"/>
    </row>
    <row r="11" spans="1:22" ht="24">
      <c r="A11" s="31" t="s">
        <v>355</v>
      </c>
      <c r="B11" s="255">
        <v>16692082.02</v>
      </c>
      <c r="C11" s="255">
        <v>61984.97</v>
      </c>
      <c r="D11" s="255">
        <v>430801.77</v>
      </c>
      <c r="E11" s="255">
        <v>260280.97</v>
      </c>
      <c r="F11" s="199">
        <f t="shared" si="0"/>
        <v>17445149.73</v>
      </c>
      <c r="G11" s="275">
        <v>68</v>
      </c>
      <c r="H11" s="33" t="s">
        <v>4</v>
      </c>
      <c r="I11" s="32">
        <f t="shared" si="1"/>
        <v>256546.31955882354</v>
      </c>
      <c r="J11" s="255">
        <v>20451372.67</v>
      </c>
      <c r="K11" s="255">
        <v>78382.05</v>
      </c>
      <c r="L11" s="255">
        <v>420546.35</v>
      </c>
      <c r="M11" s="255">
        <v>235946.69</v>
      </c>
      <c r="N11" s="305">
        <f t="shared" si="2"/>
        <v>21186247.760000005</v>
      </c>
      <c r="O11" s="275">
        <v>73</v>
      </c>
      <c r="P11" s="33" t="s">
        <v>4</v>
      </c>
      <c r="Q11" s="32">
        <f t="shared" si="3"/>
        <v>290222.5720547946</v>
      </c>
      <c r="R11" s="676">
        <f t="shared" si="4"/>
        <v>21.44491785912579</v>
      </c>
      <c r="S11" s="676">
        <f t="shared" si="5"/>
        <v>7.352941176470588</v>
      </c>
      <c r="T11" s="676">
        <f t="shared" si="6"/>
        <v>13.126772800281554</v>
      </c>
      <c r="V11" s="614"/>
    </row>
    <row r="12" spans="1:22" ht="24">
      <c r="A12" s="195" t="s">
        <v>356</v>
      </c>
      <c r="B12" s="256">
        <v>20554656.54</v>
      </c>
      <c r="C12" s="256">
        <v>98150.87</v>
      </c>
      <c r="D12" s="256">
        <v>633498.1000000001</v>
      </c>
      <c r="E12" s="256">
        <v>13105966.940000001</v>
      </c>
      <c r="F12" s="199">
        <f t="shared" si="0"/>
        <v>34392272.45</v>
      </c>
      <c r="G12" s="640">
        <v>1</v>
      </c>
      <c r="H12" s="179" t="s">
        <v>86</v>
      </c>
      <c r="I12" s="32">
        <f t="shared" si="1"/>
        <v>34392272.45</v>
      </c>
      <c r="J12" s="256">
        <v>15784602.219999999</v>
      </c>
      <c r="K12" s="256">
        <v>219674.50999999998</v>
      </c>
      <c r="L12" s="256">
        <v>798404.3999999999</v>
      </c>
      <c r="M12" s="256">
        <v>13143057.11</v>
      </c>
      <c r="N12" s="305">
        <f t="shared" si="2"/>
        <v>29945738.24</v>
      </c>
      <c r="O12" s="640">
        <v>1</v>
      </c>
      <c r="P12" s="179" t="s">
        <v>86</v>
      </c>
      <c r="Q12" s="32">
        <f t="shared" si="3"/>
        <v>29945738.24</v>
      </c>
      <c r="R12" s="676">
        <f t="shared" si="4"/>
        <v>-12.928875858565155</v>
      </c>
      <c r="S12" s="676">
        <f t="shared" si="5"/>
        <v>0</v>
      </c>
      <c r="T12" s="676">
        <f t="shared" si="6"/>
        <v>-12.928875858565155</v>
      </c>
      <c r="V12" s="614"/>
    </row>
    <row r="13" spans="1:22" s="575" customFormat="1" ht="48" hidden="1">
      <c r="A13" s="629" t="s">
        <v>357</v>
      </c>
      <c r="B13" s="630">
        <v>0</v>
      </c>
      <c r="C13" s="630">
        <v>0</v>
      </c>
      <c r="D13" s="630">
        <v>0</v>
      </c>
      <c r="E13" s="630">
        <v>0</v>
      </c>
      <c r="F13" s="597">
        <f t="shared" si="0"/>
        <v>0</v>
      </c>
      <c r="G13" s="641">
        <v>0</v>
      </c>
      <c r="H13" s="631" t="s">
        <v>4</v>
      </c>
      <c r="I13" s="632" t="e">
        <f t="shared" si="1"/>
        <v>#DIV/0!</v>
      </c>
      <c r="J13" s="633"/>
      <c r="K13" s="633"/>
      <c r="L13" s="633"/>
      <c r="M13" s="633"/>
      <c r="N13" s="634">
        <f t="shared" si="2"/>
        <v>0</v>
      </c>
      <c r="O13" s="643"/>
      <c r="P13" s="631" t="s">
        <v>4</v>
      </c>
      <c r="Q13" s="632" t="e">
        <f t="shared" si="3"/>
        <v>#DIV/0!</v>
      </c>
      <c r="R13" s="676" t="e">
        <f t="shared" si="4"/>
        <v>#DIV/0!</v>
      </c>
      <c r="S13" s="676" t="e">
        <f t="shared" si="5"/>
        <v>#DIV/0!</v>
      </c>
      <c r="T13" s="676" t="e">
        <f t="shared" si="6"/>
        <v>#DIV/0!</v>
      </c>
      <c r="V13" s="635"/>
    </row>
    <row r="14" spans="1:22" ht="24">
      <c r="A14" s="177" t="s">
        <v>379</v>
      </c>
      <c r="B14" s="200">
        <v>19569631.141000003</v>
      </c>
      <c r="C14" s="200">
        <v>56820.56</v>
      </c>
      <c r="D14" s="200">
        <v>256239.32</v>
      </c>
      <c r="E14" s="200">
        <v>81988.15000000001</v>
      </c>
      <c r="F14" s="199">
        <f t="shared" si="0"/>
        <v>19964679.171</v>
      </c>
      <c r="G14" s="638">
        <v>15</v>
      </c>
      <c r="H14" s="304" t="s">
        <v>4</v>
      </c>
      <c r="I14" s="32">
        <f t="shared" si="1"/>
        <v>1330978.6114</v>
      </c>
      <c r="J14" s="200">
        <v>16407121.59</v>
      </c>
      <c r="K14" s="200">
        <v>71259.41</v>
      </c>
      <c r="L14" s="200">
        <v>219253.17</v>
      </c>
      <c r="M14" s="200">
        <v>72729.33</v>
      </c>
      <c r="N14" s="305">
        <f t="shared" si="2"/>
        <v>16770363.5</v>
      </c>
      <c r="O14" s="640">
        <v>10</v>
      </c>
      <c r="P14" s="179" t="s">
        <v>4</v>
      </c>
      <c r="Q14" s="32">
        <f t="shared" si="3"/>
        <v>1677036.35</v>
      </c>
      <c r="R14" s="676">
        <f t="shared" si="4"/>
        <v>-15.99983472631983</v>
      </c>
      <c r="S14" s="676">
        <f t="shared" si="5"/>
        <v>-33.333333333333336</v>
      </c>
      <c r="T14" s="676">
        <f t="shared" si="6"/>
        <v>26.000247910520258</v>
      </c>
      <c r="V14" s="614"/>
    </row>
    <row r="15" spans="1:22" ht="48">
      <c r="A15" s="177" t="s">
        <v>415</v>
      </c>
      <c r="B15" s="200">
        <v>19617801.72</v>
      </c>
      <c r="C15" s="200">
        <v>68014.63</v>
      </c>
      <c r="D15" s="200">
        <v>1503834.49</v>
      </c>
      <c r="E15" s="200">
        <v>2355226.83</v>
      </c>
      <c r="F15" s="199">
        <f t="shared" si="0"/>
        <v>23544877.669999994</v>
      </c>
      <c r="G15" s="638">
        <v>65</v>
      </c>
      <c r="H15" s="307" t="s">
        <v>4</v>
      </c>
      <c r="I15" s="32">
        <f t="shared" si="1"/>
        <v>362228.88723076915</v>
      </c>
      <c r="J15" s="256">
        <v>27091105.3</v>
      </c>
      <c r="K15" s="256">
        <v>157572.94</v>
      </c>
      <c r="L15" s="256">
        <v>1898079.11</v>
      </c>
      <c r="M15" s="256">
        <v>1207227.6199999999</v>
      </c>
      <c r="N15" s="305">
        <f t="shared" si="2"/>
        <v>30353984.970000003</v>
      </c>
      <c r="O15" s="640">
        <v>91</v>
      </c>
      <c r="P15" s="179" t="s">
        <v>4</v>
      </c>
      <c r="Q15" s="32">
        <f t="shared" si="3"/>
        <v>333560.27439560444</v>
      </c>
      <c r="R15" s="676">
        <f t="shared" si="4"/>
        <v>28.919697079912712</v>
      </c>
      <c r="S15" s="676">
        <f t="shared" si="5"/>
        <v>40</v>
      </c>
      <c r="T15" s="676">
        <f t="shared" si="6"/>
        <v>-7.914502085776631</v>
      </c>
      <c r="V15" s="614"/>
    </row>
    <row r="16" spans="1:22" s="575" customFormat="1" ht="72" hidden="1">
      <c r="A16" s="629" t="s">
        <v>358</v>
      </c>
      <c r="B16" s="633">
        <v>0</v>
      </c>
      <c r="C16" s="633">
        <v>0</v>
      </c>
      <c r="D16" s="633">
        <v>0</v>
      </c>
      <c r="E16" s="633">
        <v>0</v>
      </c>
      <c r="F16" s="597">
        <f t="shared" si="0"/>
        <v>0</v>
      </c>
      <c r="G16" s="639">
        <v>0</v>
      </c>
      <c r="H16" s="636" t="s">
        <v>89</v>
      </c>
      <c r="I16" s="632" t="e">
        <f t="shared" si="1"/>
        <v>#DIV/0!</v>
      </c>
      <c r="J16" s="633"/>
      <c r="K16" s="633"/>
      <c r="L16" s="633"/>
      <c r="M16" s="633"/>
      <c r="N16" s="634">
        <f t="shared" si="2"/>
        <v>0</v>
      </c>
      <c r="O16" s="643"/>
      <c r="P16" s="625" t="s">
        <v>89</v>
      </c>
      <c r="Q16" s="632" t="e">
        <f t="shared" si="3"/>
        <v>#DIV/0!</v>
      </c>
      <c r="R16" s="676" t="e">
        <f t="shared" si="4"/>
        <v>#DIV/0!</v>
      </c>
      <c r="S16" s="676" t="e">
        <f t="shared" si="5"/>
        <v>#DIV/0!</v>
      </c>
      <c r="T16" s="676" t="e">
        <f t="shared" si="6"/>
        <v>#DIV/0!</v>
      </c>
      <c r="V16" s="635"/>
    </row>
    <row r="17" spans="1:22" ht="48">
      <c r="A17" s="177" t="s">
        <v>421</v>
      </c>
      <c r="B17" s="200">
        <v>35234511.44</v>
      </c>
      <c r="C17" s="200">
        <v>93840.2</v>
      </c>
      <c r="D17" s="200">
        <v>43745499.940000005</v>
      </c>
      <c r="E17" s="200">
        <v>182966.74</v>
      </c>
      <c r="F17" s="199">
        <f t="shared" si="0"/>
        <v>79256818.32000001</v>
      </c>
      <c r="G17" s="638">
        <v>12</v>
      </c>
      <c r="H17" s="179" t="s">
        <v>4</v>
      </c>
      <c r="I17" s="32">
        <f t="shared" si="1"/>
        <v>6604734.86</v>
      </c>
      <c r="J17" s="256">
        <v>54499489.42586051</v>
      </c>
      <c r="K17" s="256">
        <v>1730722.62</v>
      </c>
      <c r="L17" s="256">
        <v>3736519.65</v>
      </c>
      <c r="M17" s="256">
        <v>199087.83000000002</v>
      </c>
      <c r="N17" s="305">
        <f t="shared" si="2"/>
        <v>60165819.5258605</v>
      </c>
      <c r="O17" s="640">
        <v>14</v>
      </c>
      <c r="P17" s="179" t="s">
        <v>4</v>
      </c>
      <c r="Q17" s="32">
        <f t="shared" si="3"/>
        <v>4297558.537561464</v>
      </c>
      <c r="R17" s="676">
        <f t="shared" si="4"/>
        <v>-24.087516000275777</v>
      </c>
      <c r="S17" s="676">
        <f t="shared" si="5"/>
        <v>16.666666666666668</v>
      </c>
      <c r="T17" s="676">
        <f t="shared" si="6"/>
        <v>-34.932156571664954</v>
      </c>
      <c r="V17" s="614"/>
    </row>
    <row r="18" spans="1:20" ht="24.75" thickBot="1">
      <c r="A18" s="34" t="s">
        <v>63</v>
      </c>
      <c r="B18" s="308">
        <f>SUM(B5:B17)</f>
        <v>650912478.3210001</v>
      </c>
      <c r="C18" s="308">
        <f>SUM(C5:C17)</f>
        <v>5226768.2</v>
      </c>
      <c r="D18" s="308">
        <f>SUM(D5:D17)</f>
        <v>106385868.93</v>
      </c>
      <c r="E18" s="308">
        <f>SUM(E5:E17)</f>
        <v>29186122.249999996</v>
      </c>
      <c r="F18" s="308">
        <f>SUM(F5:F17)</f>
        <v>791711237.7010001</v>
      </c>
      <c r="G18" s="257"/>
      <c r="H18" s="257"/>
      <c r="I18" s="257"/>
      <c r="J18" s="308">
        <f>SUM(J5:J17)</f>
        <v>687123096.8458605</v>
      </c>
      <c r="K18" s="308">
        <f>SUM(K5:K17)</f>
        <v>14995981.030000001</v>
      </c>
      <c r="L18" s="308">
        <f>SUM(L5:L17)</f>
        <v>29053890.910000004</v>
      </c>
      <c r="M18" s="308">
        <f>SUM(M5:M17)</f>
        <v>27080616.799999993</v>
      </c>
      <c r="N18" s="308">
        <f>SUM(N5:N17)</f>
        <v>758253585.5858606</v>
      </c>
      <c r="O18" s="644"/>
      <c r="P18" s="36"/>
      <c r="Q18" s="36"/>
      <c r="R18" s="674"/>
      <c r="S18" s="674"/>
      <c r="T18" s="674"/>
    </row>
    <row r="19" spans="1:15" ht="24.75" thickTop="1">
      <c r="A19" s="37"/>
      <c r="B19" s="37"/>
      <c r="C19" s="37"/>
      <c r="D19" s="37"/>
      <c r="E19" s="37"/>
      <c r="F19" s="37"/>
      <c r="G19" s="87"/>
      <c r="H19" s="87"/>
      <c r="I19" s="37"/>
      <c r="J19" s="38"/>
      <c r="K19" s="39"/>
      <c r="L19" s="38"/>
      <c r="M19" s="38"/>
      <c r="N19" s="38"/>
      <c r="O19" s="118"/>
    </row>
    <row r="20" spans="1:14" ht="24">
      <c r="A20" s="26"/>
      <c r="B20" s="138"/>
      <c r="C20" s="138"/>
      <c r="D20" s="138"/>
      <c r="E20" s="138"/>
      <c r="F20" s="138"/>
      <c r="G20" s="88"/>
      <c r="H20" s="88"/>
      <c r="J20" s="138"/>
      <c r="K20" s="137"/>
      <c r="L20" s="142"/>
      <c r="M20" s="137"/>
      <c r="N20" s="137"/>
    </row>
    <row r="21" spans="1:14" ht="24">
      <c r="A21" s="26"/>
      <c r="B21" s="140"/>
      <c r="C21" s="140"/>
      <c r="D21" s="140"/>
      <c r="E21" s="140"/>
      <c r="F21" s="140"/>
      <c r="G21" s="88"/>
      <c r="H21" s="88"/>
      <c r="I21" s="140"/>
      <c r="J21" s="140"/>
      <c r="K21" s="140"/>
      <c r="L21" s="140"/>
      <c r="M21" s="140"/>
      <c r="N21" s="140"/>
    </row>
    <row r="22" spans="1:14" ht="24">
      <c r="A22" s="26"/>
      <c r="B22" s="26"/>
      <c r="C22" s="26"/>
      <c r="D22" s="26"/>
      <c r="E22" s="26"/>
      <c r="F22" s="26"/>
      <c r="G22" s="88"/>
      <c r="H22" s="88"/>
      <c r="I22" s="26"/>
      <c r="J22" s="28"/>
      <c r="K22" s="28"/>
      <c r="L22" s="28"/>
      <c r="M22" s="28"/>
      <c r="N22" s="38"/>
    </row>
    <row r="23" spans="1:14" ht="24">
      <c r="A23" s="26"/>
      <c r="B23" s="26"/>
      <c r="C23" s="26"/>
      <c r="D23" s="26"/>
      <c r="E23" s="26"/>
      <c r="F23" s="26"/>
      <c r="G23" s="88"/>
      <c r="H23" s="88"/>
      <c r="I23" s="26"/>
      <c r="J23" s="28"/>
      <c r="K23" s="28"/>
      <c r="L23" s="28"/>
      <c r="M23" s="28"/>
      <c r="N23" s="38"/>
    </row>
    <row r="24" spans="1:14" ht="24">
      <c r="A24" s="26"/>
      <c r="B24" s="140"/>
      <c r="C24" s="140"/>
      <c r="D24" s="140"/>
      <c r="E24" s="140"/>
      <c r="F24" s="26"/>
      <c r="G24" s="88"/>
      <c r="H24" s="88"/>
      <c r="I24" s="26"/>
      <c r="J24" s="28"/>
      <c r="K24" s="27"/>
      <c r="L24" s="28"/>
      <c r="M24" s="28"/>
      <c r="N24" s="38"/>
    </row>
    <row r="25" spans="1:14" ht="24">
      <c r="A25" s="26"/>
      <c r="B25" s="26"/>
      <c r="C25" s="26"/>
      <c r="D25" s="26"/>
      <c r="E25" s="26"/>
      <c r="F25" s="26"/>
      <c r="G25" s="88"/>
      <c r="H25" s="88"/>
      <c r="I25" s="26"/>
      <c r="J25" s="28"/>
      <c r="K25" s="27"/>
      <c r="L25" s="28"/>
      <c r="M25" s="28"/>
      <c r="N25" s="38"/>
    </row>
    <row r="26" spans="1:14" ht="24">
      <c r="A26" s="26"/>
      <c r="B26" s="26"/>
      <c r="C26" s="26"/>
      <c r="D26" s="26"/>
      <c r="E26" s="26"/>
      <c r="F26" s="26"/>
      <c r="G26" s="88"/>
      <c r="H26" s="88"/>
      <c r="I26" s="26"/>
      <c r="J26" s="28"/>
      <c r="K26" s="27"/>
      <c r="L26" s="28"/>
      <c r="M26" s="28"/>
      <c r="N26" s="38"/>
    </row>
    <row r="27" spans="1:14" ht="24">
      <c r="A27" s="26"/>
      <c r="B27" s="26"/>
      <c r="C27" s="26"/>
      <c r="D27" s="26"/>
      <c r="E27" s="26"/>
      <c r="F27" s="26"/>
      <c r="G27" s="88"/>
      <c r="H27" s="88"/>
      <c r="I27" s="26"/>
      <c r="J27" s="28"/>
      <c r="K27" s="28"/>
      <c r="L27" s="28"/>
      <c r="M27" s="28"/>
      <c r="N27" s="38"/>
    </row>
    <row r="28" spans="1:14" ht="24">
      <c r="A28" s="26"/>
      <c r="B28" s="26"/>
      <c r="C28" s="26"/>
      <c r="D28" s="26"/>
      <c r="E28" s="26"/>
      <c r="F28" s="26"/>
      <c r="G28" s="88"/>
      <c r="H28" s="88"/>
      <c r="I28" s="26"/>
      <c r="J28" s="28"/>
      <c r="K28" s="27"/>
      <c r="L28" s="28"/>
      <c r="M28" s="28"/>
      <c r="N28" s="38"/>
    </row>
    <row r="29" spans="1:14" ht="24">
      <c r="A29" s="29"/>
      <c r="B29" s="29"/>
      <c r="C29" s="29"/>
      <c r="D29" s="29"/>
      <c r="E29" s="29"/>
      <c r="F29" s="29"/>
      <c r="G29" s="89"/>
      <c r="H29" s="89"/>
      <c r="I29" s="29"/>
      <c r="J29" s="29"/>
      <c r="K29" s="29"/>
      <c r="L29" s="29"/>
      <c r="M29" s="29"/>
      <c r="N29" s="38"/>
    </row>
    <row r="34" spans="10:13" ht="24">
      <c r="J34" s="53"/>
      <c r="K34" s="53"/>
      <c r="L34" s="53"/>
      <c r="M34" s="53"/>
    </row>
    <row r="35" spans="10:13" ht="24">
      <c r="J35" s="53"/>
      <c r="K35" s="53"/>
      <c r="L35" s="53"/>
      <c r="M35" s="53"/>
    </row>
    <row r="36" spans="10:13" ht="24">
      <c r="J36" s="53"/>
      <c r="K36" s="53"/>
      <c r="L36" s="53"/>
      <c r="M36" s="53"/>
    </row>
    <row r="37" spans="10:13" ht="24">
      <c r="J37" s="53"/>
      <c r="K37" s="53"/>
      <c r="L37" s="53"/>
      <c r="M37" s="53"/>
    </row>
    <row r="38" spans="10:13" ht="24">
      <c r="J38" s="53"/>
      <c r="K38" s="53"/>
      <c r="L38" s="53"/>
      <c r="M38" s="53"/>
    </row>
    <row r="39" spans="10:13" ht="24">
      <c r="J39" s="53"/>
      <c r="K39" s="53"/>
      <c r="L39" s="53"/>
      <c r="M39" s="53"/>
    </row>
    <row r="40" spans="10:13" ht="24">
      <c r="J40" s="53"/>
      <c r="K40" s="53"/>
      <c r="L40" s="53"/>
      <c r="M40" s="53"/>
    </row>
    <row r="41" spans="10:13" ht="24">
      <c r="J41" s="53"/>
      <c r="K41" s="53"/>
      <c r="L41" s="53"/>
      <c r="M41" s="53"/>
    </row>
    <row r="42" spans="10:13" ht="24">
      <c r="J42" s="53"/>
      <c r="K42" s="53"/>
      <c r="L42" s="53"/>
      <c r="M42" s="53"/>
    </row>
    <row r="43" spans="10:13" ht="24">
      <c r="J43" s="53"/>
      <c r="K43" s="53"/>
      <c r="L43" s="53"/>
      <c r="M43" s="53"/>
    </row>
    <row r="44" ht="24">
      <c r="J44" s="53"/>
    </row>
    <row r="45" ht="24">
      <c r="J45" s="53"/>
    </row>
    <row r="46" ht="24">
      <c r="J46" s="53"/>
    </row>
  </sheetData>
  <sheetProtection/>
  <mergeCells count="4">
    <mergeCell ref="A1:T1"/>
    <mergeCell ref="J3:Q3"/>
    <mergeCell ref="R3:T3"/>
    <mergeCell ref="B3:I3"/>
  </mergeCells>
  <printOptions horizontalCentered="1"/>
  <pageMargins left="0.25" right="0" top="0" bottom="0" header="0.511811023622047" footer="0.511811023622047"/>
  <pageSetup orientation="landscape" paperSize="5" scale="54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S8" sqref="S8"/>
    </sheetView>
  </sheetViews>
  <sheetFormatPr defaultColWidth="9.140625" defaultRowHeight="24" customHeight="1"/>
  <cols>
    <col min="1" max="1" width="9.140625" style="27" customWidth="1"/>
    <col min="2" max="2" width="8.00390625" style="27" customWidth="1"/>
    <col min="3" max="14" width="9.140625" style="27" customWidth="1"/>
    <col min="15" max="15" width="14.140625" style="27" customWidth="1"/>
    <col min="16" max="16" width="11.57421875" style="27" customWidth="1"/>
    <col min="17" max="17" width="10.57421875" style="27" customWidth="1"/>
    <col min="18" max="16384" width="9.140625" style="27" customWidth="1"/>
  </cols>
  <sheetData>
    <row r="1" spans="1:2" ht="24" customHeight="1">
      <c r="A1" s="84" t="s">
        <v>51</v>
      </c>
      <c r="B1" s="27" t="s">
        <v>50</v>
      </c>
    </row>
    <row r="3" spans="1:16" s="658" customFormat="1" ht="123" customHeight="1">
      <c r="A3" s="727" t="s">
        <v>426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628"/>
    </row>
    <row r="4" spans="1:16" s="657" customFormat="1" ht="126.75" customHeight="1" hidden="1">
      <c r="A4" s="728" t="s">
        <v>424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656"/>
    </row>
    <row r="5" spans="1:16" s="657" customFormat="1" ht="97.5" customHeight="1" hidden="1">
      <c r="A5" s="728" t="s">
        <v>425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656"/>
    </row>
    <row r="6" spans="1:16" s="658" customFormat="1" ht="136.5" customHeight="1">
      <c r="A6" s="727" t="s">
        <v>429</v>
      </c>
      <c r="B6" s="727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628"/>
    </row>
    <row r="7" spans="1:16" s="658" customFormat="1" ht="133.5" customHeight="1">
      <c r="A7" s="727" t="s">
        <v>459</v>
      </c>
      <c r="B7" s="727"/>
      <c r="C7" s="727"/>
      <c r="D7" s="727"/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727"/>
      <c r="P7" s="628"/>
    </row>
    <row r="8" spans="1:16" s="658" customFormat="1" ht="111.75" customHeight="1">
      <c r="A8" s="727" t="s">
        <v>445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628"/>
    </row>
  </sheetData>
  <sheetProtection/>
  <mergeCells count="6">
    <mergeCell ref="A6:O6"/>
    <mergeCell ref="A7:O7"/>
    <mergeCell ref="A8:O8"/>
    <mergeCell ref="A3:O3"/>
    <mergeCell ref="A4:O4"/>
    <mergeCell ref="A5:O5"/>
  </mergeCells>
  <printOptions horizontalCentered="1"/>
  <pageMargins left="0.69" right="0.15" top="0.69" bottom="0.15" header="0.31496062992126" footer="0.511811023622047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8"/>
  <sheetViews>
    <sheetView zoomScale="85" zoomScaleNormal="85" zoomScaleSheetLayoutView="131" zoomScalePageLayoutView="0" workbookViewId="0" topLeftCell="A1">
      <selection activeCell="A13" sqref="A13:IV15"/>
    </sheetView>
  </sheetViews>
  <sheetFormatPr defaultColWidth="9.140625" defaultRowHeight="12.75"/>
  <cols>
    <col min="1" max="1" width="33.00390625" style="59" customWidth="1"/>
    <col min="2" max="2" width="16.140625" style="59" bestFit="1" customWidth="1"/>
    <col min="3" max="3" width="16.8515625" style="59" bestFit="1" customWidth="1"/>
    <col min="4" max="4" width="15.421875" style="59" bestFit="1" customWidth="1"/>
    <col min="5" max="5" width="14.7109375" style="59" bestFit="1" customWidth="1"/>
    <col min="6" max="6" width="15.8515625" style="59" bestFit="1" customWidth="1"/>
    <col min="7" max="7" width="7.140625" style="59" bestFit="1" customWidth="1"/>
    <col min="8" max="8" width="8.421875" style="59" bestFit="1" customWidth="1"/>
    <col min="9" max="9" width="14.140625" style="59" bestFit="1" customWidth="1"/>
    <col min="10" max="10" width="16.421875" style="77" bestFit="1" customWidth="1"/>
    <col min="11" max="11" width="16.8515625" style="59" bestFit="1" customWidth="1"/>
    <col min="12" max="12" width="17.7109375" style="59" customWidth="1"/>
    <col min="13" max="13" width="15.140625" style="59" customWidth="1"/>
    <col min="14" max="14" width="15.8515625" style="59" bestFit="1" customWidth="1"/>
    <col min="15" max="15" width="7.140625" style="59" bestFit="1" customWidth="1"/>
    <col min="16" max="16" width="8.421875" style="59" bestFit="1" customWidth="1"/>
    <col min="17" max="17" width="13.00390625" style="59" bestFit="1" customWidth="1"/>
    <col min="18" max="18" width="9.140625" style="680" customWidth="1"/>
    <col min="19" max="19" width="9.28125" style="680" customWidth="1"/>
    <col min="20" max="20" width="9.140625" style="680" customWidth="1"/>
    <col min="21" max="21" width="9.140625" style="59" customWidth="1"/>
    <col min="22" max="22" width="14.140625" style="59" bestFit="1" customWidth="1"/>
    <col min="23" max="16384" width="9.140625" style="59" customWidth="1"/>
  </cols>
  <sheetData>
    <row r="1" spans="1:20" s="91" customFormat="1" ht="27.75">
      <c r="A1" s="730" t="s">
        <v>395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</row>
    <row r="2" spans="1:20" s="91" customFormat="1" ht="28.5" customHeight="1">
      <c r="A2" s="58" t="s">
        <v>76</v>
      </c>
      <c r="J2" s="124"/>
      <c r="R2" s="678"/>
      <c r="S2" s="678"/>
      <c r="T2" s="678"/>
    </row>
    <row r="3" spans="1:20" s="91" customFormat="1" ht="24">
      <c r="A3" s="731" t="s">
        <v>20</v>
      </c>
      <c r="B3" s="729" t="s">
        <v>380</v>
      </c>
      <c r="C3" s="729"/>
      <c r="D3" s="729"/>
      <c r="E3" s="729"/>
      <c r="F3" s="729"/>
      <c r="G3" s="729"/>
      <c r="H3" s="729"/>
      <c r="I3" s="729"/>
      <c r="J3" s="729" t="s">
        <v>394</v>
      </c>
      <c r="K3" s="729"/>
      <c r="L3" s="729"/>
      <c r="M3" s="729"/>
      <c r="N3" s="729"/>
      <c r="O3" s="729"/>
      <c r="P3" s="729"/>
      <c r="Q3" s="729"/>
      <c r="R3" s="721" t="s">
        <v>46</v>
      </c>
      <c r="S3" s="721"/>
      <c r="T3" s="721"/>
    </row>
    <row r="4" spans="1:20" s="63" customFormat="1" ht="168">
      <c r="A4" s="732"/>
      <c r="B4" s="60" t="s">
        <v>0</v>
      </c>
      <c r="C4" s="60" t="s">
        <v>1</v>
      </c>
      <c r="D4" s="60" t="s">
        <v>2</v>
      </c>
      <c r="E4" s="60" t="s">
        <v>3</v>
      </c>
      <c r="F4" s="60" t="s">
        <v>11</v>
      </c>
      <c r="G4" s="61" t="s">
        <v>9</v>
      </c>
      <c r="H4" s="61" t="s">
        <v>10</v>
      </c>
      <c r="I4" s="62" t="s">
        <v>12</v>
      </c>
      <c r="J4" s="60" t="s">
        <v>0</v>
      </c>
      <c r="K4" s="60" t="s">
        <v>1</v>
      </c>
      <c r="L4" s="60" t="s">
        <v>2</v>
      </c>
      <c r="M4" s="60" t="s">
        <v>3</v>
      </c>
      <c r="N4" s="60" t="s">
        <v>11</v>
      </c>
      <c r="O4" s="61" t="s">
        <v>9</v>
      </c>
      <c r="P4" s="61" t="s">
        <v>10</v>
      </c>
      <c r="Q4" s="62" t="s">
        <v>12</v>
      </c>
      <c r="R4" s="671" t="s">
        <v>43</v>
      </c>
      <c r="S4" s="671" t="s">
        <v>44</v>
      </c>
      <c r="T4" s="672" t="s">
        <v>45</v>
      </c>
    </row>
    <row r="5" spans="1:22" s="63" customFormat="1" ht="139.5">
      <c r="A5" s="67" t="s">
        <v>359</v>
      </c>
      <c r="B5" s="577">
        <v>269118550.1</v>
      </c>
      <c r="C5" s="577">
        <v>0</v>
      </c>
      <c r="D5" s="577">
        <v>5471223.6899999995</v>
      </c>
      <c r="E5" s="577">
        <v>0</v>
      </c>
      <c r="F5" s="258">
        <f aca="true" t="shared" si="0" ref="F5:F10">SUM(B5:E5)</f>
        <v>274589773.79</v>
      </c>
      <c r="G5" s="601">
        <v>450</v>
      </c>
      <c r="H5" s="578" t="s">
        <v>6</v>
      </c>
      <c r="I5" s="318">
        <f aca="true" t="shared" si="1" ref="I5:I10">+F5/G5</f>
        <v>610199.4973111112</v>
      </c>
      <c r="J5" s="32">
        <v>278891055.29999995</v>
      </c>
      <c r="K5" s="199">
        <v>0</v>
      </c>
      <c r="L5" s="32">
        <v>5377699.609999999</v>
      </c>
      <c r="M5" s="199">
        <v>0</v>
      </c>
      <c r="N5" s="32">
        <f aca="true" t="shared" si="2" ref="N5:N10">SUM(J5:M5)</f>
        <v>284268754.90999997</v>
      </c>
      <c r="O5" s="604">
        <v>443</v>
      </c>
      <c r="P5" s="33" t="s">
        <v>6</v>
      </c>
      <c r="Q5" s="32">
        <f aca="true" t="shared" si="3" ref="Q5:Q10">N5/O5</f>
        <v>641690.1916704288</v>
      </c>
      <c r="R5" s="677">
        <f>(N5-F5)*100/F5</f>
        <v>3.5248876847839967</v>
      </c>
      <c r="S5" s="677">
        <f>(O5-G5)*100/G5</f>
        <v>-1.5555555555555556</v>
      </c>
      <c r="T5" s="677">
        <f aca="true" t="shared" si="4" ref="T5:T10">(Q5-I5)*100/I5</f>
        <v>5.160721124498416</v>
      </c>
      <c r="V5" s="615"/>
    </row>
    <row r="6" spans="1:22" ht="30.75" customHeight="1">
      <c r="A6" s="67" t="s">
        <v>360</v>
      </c>
      <c r="B6" s="258">
        <v>290679901.90000004</v>
      </c>
      <c r="C6" s="258">
        <v>4946107.840000001</v>
      </c>
      <c r="D6" s="258">
        <v>54978269.72</v>
      </c>
      <c r="E6" s="258">
        <v>26305659.560000002</v>
      </c>
      <c r="F6" s="258">
        <f t="shared" si="0"/>
        <v>376909939.02000004</v>
      </c>
      <c r="G6" s="602">
        <v>463</v>
      </c>
      <c r="H6" s="317" t="s">
        <v>5</v>
      </c>
      <c r="I6" s="318">
        <f t="shared" si="1"/>
        <v>814060.3434557236</v>
      </c>
      <c r="J6" s="32">
        <v>289782952.56000006</v>
      </c>
      <c r="K6" s="32">
        <v>12958044.010000002</v>
      </c>
      <c r="L6" s="32">
        <v>17401793.02</v>
      </c>
      <c r="M6" s="32">
        <v>25365625.33</v>
      </c>
      <c r="N6" s="32">
        <f t="shared" si="2"/>
        <v>345508414.92</v>
      </c>
      <c r="O6" s="604">
        <v>519</v>
      </c>
      <c r="P6" s="33" t="s">
        <v>5</v>
      </c>
      <c r="Q6" s="32">
        <f t="shared" si="3"/>
        <v>665719.4892485549</v>
      </c>
      <c r="R6" s="677">
        <f aca="true" t="shared" si="5" ref="R6:S10">(N6-F6)*100/F6</f>
        <v>-8.33130699117323</v>
      </c>
      <c r="S6" s="677">
        <f t="shared" si="5"/>
        <v>12.095032397408207</v>
      </c>
      <c r="T6" s="677">
        <f t="shared" si="4"/>
        <v>-18.222341304264365</v>
      </c>
      <c r="V6" s="615"/>
    </row>
    <row r="7" spans="1:22" ht="168">
      <c r="A7" s="177" t="s">
        <v>361</v>
      </c>
      <c r="B7" s="309">
        <v>55879514.879999995</v>
      </c>
      <c r="C7" s="309">
        <v>186820.16</v>
      </c>
      <c r="D7" s="309">
        <v>2190875.58</v>
      </c>
      <c r="E7" s="309">
        <v>2697495.95</v>
      </c>
      <c r="F7" s="258">
        <f t="shared" si="0"/>
        <v>60954706.56999999</v>
      </c>
      <c r="G7" s="603">
        <v>11</v>
      </c>
      <c r="H7" s="319" t="s">
        <v>5</v>
      </c>
      <c r="I7" s="318">
        <f t="shared" si="1"/>
        <v>5541336.96090909</v>
      </c>
      <c r="J7" s="309">
        <v>63949599.56</v>
      </c>
      <c r="K7" s="309">
        <v>307214.4</v>
      </c>
      <c r="L7" s="309">
        <v>2537878.63</v>
      </c>
      <c r="M7" s="309">
        <v>1515903.64</v>
      </c>
      <c r="N7" s="258">
        <f t="shared" si="2"/>
        <v>68310596.23</v>
      </c>
      <c r="O7" s="603">
        <v>11</v>
      </c>
      <c r="P7" s="319" t="s">
        <v>5</v>
      </c>
      <c r="Q7" s="32">
        <f t="shared" si="3"/>
        <v>6210054.202727273</v>
      </c>
      <c r="R7" s="677">
        <f t="shared" si="5"/>
        <v>12.067796030733994</v>
      </c>
      <c r="S7" s="677">
        <f t="shared" si="5"/>
        <v>0</v>
      </c>
      <c r="T7" s="677">
        <f t="shared" si="4"/>
        <v>12.067796030733996</v>
      </c>
      <c r="V7" s="615"/>
    </row>
    <row r="8" spans="1:22" s="650" customFormat="1" ht="72" hidden="1">
      <c r="A8" s="629" t="s">
        <v>362</v>
      </c>
      <c r="B8" s="645">
        <v>0</v>
      </c>
      <c r="C8" s="645">
        <v>0</v>
      </c>
      <c r="D8" s="645">
        <v>0</v>
      </c>
      <c r="E8" s="645">
        <v>0</v>
      </c>
      <c r="F8" s="646">
        <f t="shared" si="0"/>
        <v>0</v>
      </c>
      <c r="G8" s="647">
        <v>0</v>
      </c>
      <c r="H8" s="648" t="s">
        <v>4</v>
      </c>
      <c r="I8" s="646" t="e">
        <f t="shared" si="1"/>
        <v>#DIV/0!</v>
      </c>
      <c r="J8" s="645"/>
      <c r="K8" s="645"/>
      <c r="L8" s="645"/>
      <c r="M8" s="645"/>
      <c r="N8" s="649">
        <f t="shared" si="2"/>
        <v>0</v>
      </c>
      <c r="O8" s="647"/>
      <c r="P8" s="648" t="s">
        <v>4</v>
      </c>
      <c r="Q8" s="632" t="e">
        <f t="shared" si="3"/>
        <v>#DIV/0!</v>
      </c>
      <c r="R8" s="677" t="e">
        <f t="shared" si="5"/>
        <v>#DIV/0!</v>
      </c>
      <c r="S8" s="677" t="e">
        <f t="shared" si="5"/>
        <v>#DIV/0!</v>
      </c>
      <c r="T8" s="677" t="e">
        <f t="shared" si="4"/>
        <v>#DIV/0!</v>
      </c>
      <c r="V8" s="651"/>
    </row>
    <row r="9" spans="1:22" s="650" customFormat="1" ht="96" hidden="1">
      <c r="A9" s="629" t="s">
        <v>363</v>
      </c>
      <c r="B9" s="645">
        <v>0</v>
      </c>
      <c r="C9" s="645">
        <v>0</v>
      </c>
      <c r="D9" s="645">
        <v>0</v>
      </c>
      <c r="E9" s="645">
        <v>0</v>
      </c>
      <c r="F9" s="646">
        <f t="shared" si="0"/>
        <v>0</v>
      </c>
      <c r="G9" s="647">
        <v>0</v>
      </c>
      <c r="H9" s="648" t="s">
        <v>89</v>
      </c>
      <c r="I9" s="646" t="e">
        <f t="shared" si="1"/>
        <v>#DIV/0!</v>
      </c>
      <c r="J9" s="645"/>
      <c r="K9" s="645"/>
      <c r="L9" s="645"/>
      <c r="M9" s="645"/>
      <c r="N9" s="649">
        <f t="shared" si="2"/>
        <v>0</v>
      </c>
      <c r="O9" s="647"/>
      <c r="P9" s="648" t="s">
        <v>89</v>
      </c>
      <c r="Q9" s="632" t="e">
        <f t="shared" si="3"/>
        <v>#DIV/0!</v>
      </c>
      <c r="R9" s="677" t="e">
        <f t="shared" si="5"/>
        <v>#DIV/0!</v>
      </c>
      <c r="S9" s="677" t="e">
        <f t="shared" si="5"/>
        <v>#DIV/0!</v>
      </c>
      <c r="T9" s="677" t="e">
        <f t="shared" si="4"/>
        <v>#DIV/0!</v>
      </c>
      <c r="V9" s="651"/>
    </row>
    <row r="10" spans="1:22" ht="72">
      <c r="A10" s="177" t="s">
        <v>422</v>
      </c>
      <c r="B10" s="309">
        <v>35234511.44</v>
      </c>
      <c r="C10" s="309">
        <v>93840.2</v>
      </c>
      <c r="D10" s="309">
        <v>43745499.940000005</v>
      </c>
      <c r="E10" s="309">
        <v>182966.74</v>
      </c>
      <c r="F10" s="258">
        <f t="shared" si="0"/>
        <v>79256818.32000001</v>
      </c>
      <c r="G10" s="603">
        <v>12</v>
      </c>
      <c r="H10" s="319" t="s">
        <v>4</v>
      </c>
      <c r="I10" s="318">
        <f t="shared" si="1"/>
        <v>6604734.86</v>
      </c>
      <c r="J10" s="309">
        <v>54499489.42586051</v>
      </c>
      <c r="K10" s="309">
        <v>1730722.62</v>
      </c>
      <c r="L10" s="309">
        <v>3736519.65</v>
      </c>
      <c r="M10" s="309">
        <v>199087.83000000002</v>
      </c>
      <c r="N10" s="258">
        <f t="shared" si="2"/>
        <v>60165819.5258605</v>
      </c>
      <c r="O10" s="603">
        <v>14</v>
      </c>
      <c r="P10" s="319" t="s">
        <v>4</v>
      </c>
      <c r="Q10" s="32">
        <f t="shared" si="3"/>
        <v>4297558.537561464</v>
      </c>
      <c r="R10" s="677">
        <f t="shared" si="5"/>
        <v>-24.087516000275777</v>
      </c>
      <c r="S10" s="677">
        <f t="shared" si="5"/>
        <v>16.666666666666668</v>
      </c>
      <c r="T10" s="677">
        <f t="shared" si="4"/>
        <v>-34.932156571664954</v>
      </c>
      <c r="V10" s="615"/>
    </row>
    <row r="11" spans="1:20" ht="24" thickBot="1">
      <c r="A11" s="92" t="s">
        <v>64</v>
      </c>
      <c r="B11" s="259">
        <f>SUM(B5:B10)</f>
        <v>650912478.3199999</v>
      </c>
      <c r="C11" s="259">
        <f>SUM(C5:C10)</f>
        <v>5226768.200000001</v>
      </c>
      <c r="D11" s="259">
        <f>SUM(D5:D10)</f>
        <v>106385868.93</v>
      </c>
      <c r="E11" s="259">
        <f>SUM(E5:E10)</f>
        <v>29186122.25</v>
      </c>
      <c r="F11" s="259">
        <f>SUM(F5:F10)</f>
        <v>791711237.7000002</v>
      </c>
      <c r="G11" s="320"/>
      <c r="H11" s="320"/>
      <c r="I11" s="320"/>
      <c r="J11" s="259">
        <f>SUM(J5:J10)</f>
        <v>687123096.8458606</v>
      </c>
      <c r="K11" s="259">
        <f>SUM(K5:K10)</f>
        <v>14995981.030000001</v>
      </c>
      <c r="L11" s="259">
        <f>SUM(L5:L10)</f>
        <v>29053890.909999996</v>
      </c>
      <c r="M11" s="259">
        <f>SUM(M5:M10)</f>
        <v>27080616.799999997</v>
      </c>
      <c r="N11" s="259">
        <f>SUM(N5:N10)</f>
        <v>758253585.5858605</v>
      </c>
      <c r="O11" s="320"/>
      <c r="P11" s="320"/>
      <c r="Q11" s="320"/>
      <c r="R11" s="679"/>
      <c r="S11" s="679"/>
      <c r="T11" s="679"/>
    </row>
    <row r="12" spans="1:14" ht="24" thickTop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1"/>
      <c r="L12" s="70"/>
      <c r="M12" s="70"/>
      <c r="N12" s="70"/>
    </row>
    <row r="13" spans="1:14" ht="23.25">
      <c r="A13" s="70"/>
      <c r="B13" s="147"/>
      <c r="C13" s="147"/>
      <c r="D13" s="147"/>
      <c r="E13" s="147"/>
      <c r="F13" s="147"/>
      <c r="G13" s="70"/>
      <c r="H13" s="70"/>
      <c r="I13" s="70"/>
      <c r="J13" s="148"/>
      <c r="K13" s="148"/>
      <c r="L13" s="148"/>
      <c r="M13" s="148"/>
      <c r="N13" s="147"/>
    </row>
    <row r="14" spans="1:14" ht="23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23.25">
      <c r="A15" s="70"/>
      <c r="B15" s="70"/>
      <c r="C15" s="70"/>
      <c r="D15" s="70"/>
      <c r="E15" s="70"/>
      <c r="F15" s="70"/>
      <c r="G15" s="70"/>
      <c r="H15" s="70"/>
      <c r="I15" s="70"/>
      <c r="J15" s="74"/>
      <c r="K15" s="75"/>
      <c r="L15" s="74"/>
      <c r="M15" s="75"/>
      <c r="N15" s="70"/>
    </row>
    <row r="16" spans="1:14" ht="23.25">
      <c r="A16" s="70"/>
      <c r="B16" s="70"/>
      <c r="C16" s="70"/>
      <c r="D16" s="70"/>
      <c r="E16" s="70"/>
      <c r="F16" s="70"/>
      <c r="G16" s="70"/>
      <c r="H16" s="70"/>
      <c r="I16" s="70"/>
      <c r="J16" s="74"/>
      <c r="K16" s="75"/>
      <c r="L16" s="74"/>
      <c r="M16" s="75"/>
      <c r="N16" s="70"/>
    </row>
    <row r="17" spans="1:14" ht="23.25">
      <c r="A17" s="70"/>
      <c r="B17" s="70"/>
      <c r="C17" s="70"/>
      <c r="D17" s="70"/>
      <c r="E17" s="70"/>
      <c r="F17" s="70"/>
      <c r="G17" s="70"/>
      <c r="H17" s="70"/>
      <c r="I17" s="70"/>
      <c r="J17" s="74"/>
      <c r="K17" s="75"/>
      <c r="L17" s="74"/>
      <c r="M17" s="75"/>
      <c r="N17" s="70"/>
    </row>
    <row r="18" spans="1:14" ht="23.25">
      <c r="A18" s="70"/>
      <c r="B18" s="70"/>
      <c r="C18" s="70"/>
      <c r="D18" s="70"/>
      <c r="E18" s="70"/>
      <c r="F18" s="70"/>
      <c r="G18" s="70"/>
      <c r="H18" s="70"/>
      <c r="I18" s="70"/>
      <c r="J18" s="74"/>
      <c r="K18" s="75"/>
      <c r="L18" s="74"/>
      <c r="M18" s="75"/>
      <c r="N18" s="70"/>
    </row>
    <row r="19" spans="1:14" ht="23.25">
      <c r="A19" s="70"/>
      <c r="B19" s="70"/>
      <c r="C19" s="70"/>
      <c r="D19" s="70"/>
      <c r="E19" s="70"/>
      <c r="F19" s="70"/>
      <c r="G19" s="70"/>
      <c r="H19" s="70"/>
      <c r="I19" s="70"/>
      <c r="J19" s="74"/>
      <c r="K19" s="75"/>
      <c r="L19" s="74"/>
      <c r="M19" s="75"/>
      <c r="N19" s="70"/>
    </row>
    <row r="20" spans="1:14" ht="23.25">
      <c r="A20" s="70"/>
      <c r="B20" s="70"/>
      <c r="C20" s="70"/>
      <c r="D20" s="70"/>
      <c r="E20" s="70"/>
      <c r="F20" s="70"/>
      <c r="G20" s="70"/>
      <c r="H20" s="70"/>
      <c r="I20" s="70"/>
      <c r="J20" s="74"/>
      <c r="K20" s="75"/>
      <c r="L20" s="74"/>
      <c r="M20" s="75"/>
      <c r="N20" s="70"/>
    </row>
    <row r="21" spans="1:14" ht="23.25">
      <c r="A21" s="70"/>
      <c r="B21" s="70"/>
      <c r="C21" s="70"/>
      <c r="D21" s="70"/>
      <c r="E21" s="70"/>
      <c r="F21" s="70"/>
      <c r="G21" s="70"/>
      <c r="H21" s="70"/>
      <c r="I21" s="70"/>
      <c r="J21" s="74"/>
      <c r="K21" s="75"/>
      <c r="L21" s="74"/>
      <c r="M21" s="75"/>
      <c r="N21" s="70"/>
    </row>
    <row r="22" spans="1:14" ht="23.25">
      <c r="A22" s="70"/>
      <c r="B22" s="70"/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0"/>
    </row>
    <row r="23" spans="1:14" ht="23.25">
      <c r="A23" s="70"/>
      <c r="B23" s="70"/>
      <c r="C23" s="70"/>
      <c r="D23" s="70"/>
      <c r="E23" s="70"/>
      <c r="F23" s="70"/>
      <c r="G23" s="70"/>
      <c r="H23" s="70"/>
      <c r="I23" s="70"/>
      <c r="J23" s="74"/>
      <c r="K23" s="74"/>
      <c r="L23" s="74"/>
      <c r="M23" s="74"/>
      <c r="N23" s="70"/>
    </row>
    <row r="24" spans="1:14" ht="23.25">
      <c r="A24" s="70"/>
      <c r="B24" s="70"/>
      <c r="C24" s="70"/>
      <c r="D24" s="70"/>
      <c r="E24" s="70"/>
      <c r="F24" s="70"/>
      <c r="G24" s="70"/>
      <c r="H24" s="70"/>
      <c r="I24" s="70"/>
      <c r="J24" s="74"/>
      <c r="K24" s="74"/>
      <c r="L24" s="74"/>
      <c r="M24" s="74"/>
      <c r="N24" s="70"/>
    </row>
    <row r="25" spans="1:14" ht="23.25">
      <c r="A25" s="70"/>
      <c r="B25" s="70"/>
      <c r="C25" s="70"/>
      <c r="D25" s="70"/>
      <c r="E25" s="70"/>
      <c r="F25" s="70"/>
      <c r="G25" s="70"/>
      <c r="H25" s="70"/>
      <c r="I25" s="70"/>
      <c r="J25" s="74"/>
      <c r="K25" s="74"/>
      <c r="L25" s="74"/>
      <c r="M25" s="74"/>
      <c r="N25" s="70"/>
    </row>
    <row r="26" spans="1:14" ht="23.25">
      <c r="A26" s="70"/>
      <c r="B26" s="70"/>
      <c r="C26" s="70"/>
      <c r="D26" s="70"/>
      <c r="E26" s="70"/>
      <c r="F26" s="70"/>
      <c r="G26" s="70"/>
      <c r="H26" s="70"/>
      <c r="I26" s="70"/>
      <c r="J26" s="74"/>
      <c r="K26" s="74"/>
      <c r="L26" s="74"/>
      <c r="M26" s="74"/>
      <c r="N26" s="70"/>
    </row>
    <row r="27" spans="1:14" ht="23.25">
      <c r="A27" s="70"/>
      <c r="B27" s="70"/>
      <c r="C27" s="70"/>
      <c r="D27" s="70"/>
      <c r="E27" s="70"/>
      <c r="F27" s="70"/>
      <c r="G27" s="70"/>
      <c r="H27" s="70"/>
      <c r="I27" s="70"/>
      <c r="J27" s="600"/>
      <c r="K27" s="75"/>
      <c r="L27" s="74"/>
      <c r="M27" s="75"/>
      <c r="N27" s="70"/>
    </row>
    <row r="28" spans="1:14" ht="23.25">
      <c r="A28" s="70"/>
      <c r="B28" s="70"/>
      <c r="C28" s="70"/>
      <c r="D28" s="70"/>
      <c r="E28" s="70"/>
      <c r="F28" s="70"/>
      <c r="G28" s="70"/>
      <c r="H28" s="70"/>
      <c r="I28" s="70"/>
      <c r="J28" s="74"/>
      <c r="K28" s="75"/>
      <c r="L28" s="74"/>
      <c r="M28" s="75"/>
      <c r="N28" s="70"/>
    </row>
    <row r="29" spans="1:14" ht="23.25">
      <c r="A29" s="70"/>
      <c r="B29" s="70"/>
      <c r="C29" s="70"/>
      <c r="D29" s="70"/>
      <c r="E29" s="70"/>
      <c r="F29" s="70"/>
      <c r="G29" s="70"/>
      <c r="H29" s="70"/>
      <c r="I29" s="70"/>
      <c r="J29" s="74"/>
      <c r="K29" s="75"/>
      <c r="L29" s="74"/>
      <c r="M29" s="75"/>
      <c r="N29" s="70"/>
    </row>
    <row r="30" spans="1:14" ht="23.25">
      <c r="A30" s="70"/>
      <c r="B30" s="70"/>
      <c r="C30" s="70"/>
      <c r="D30" s="70"/>
      <c r="E30" s="70"/>
      <c r="F30" s="70"/>
      <c r="G30" s="70"/>
      <c r="H30" s="70"/>
      <c r="I30" s="70"/>
      <c r="J30" s="74"/>
      <c r="K30" s="75"/>
      <c r="L30" s="74"/>
      <c r="M30" s="75"/>
      <c r="N30" s="70"/>
    </row>
    <row r="31" spans="1:14" ht="23.25">
      <c r="A31" s="70"/>
      <c r="B31" s="70"/>
      <c r="C31" s="70"/>
      <c r="D31" s="70"/>
      <c r="E31" s="70"/>
      <c r="F31" s="70"/>
      <c r="G31" s="70"/>
      <c r="H31" s="70"/>
      <c r="I31" s="70"/>
      <c r="J31" s="74"/>
      <c r="K31" s="75"/>
      <c r="L31" s="74"/>
      <c r="M31" s="75"/>
      <c r="N31" s="70"/>
    </row>
    <row r="32" spans="1:14" ht="23.25">
      <c r="A32" s="70"/>
      <c r="B32" s="70"/>
      <c r="C32" s="70"/>
      <c r="D32" s="70"/>
      <c r="E32" s="70"/>
      <c r="F32" s="70"/>
      <c r="G32" s="70"/>
      <c r="H32" s="70"/>
      <c r="I32" s="70"/>
      <c r="J32" s="74"/>
      <c r="K32" s="75"/>
      <c r="L32" s="74"/>
      <c r="M32" s="75"/>
      <c r="N32" s="70"/>
    </row>
    <row r="33" spans="1:14" ht="23.25">
      <c r="A33" s="71"/>
      <c r="B33" s="71"/>
      <c r="C33" s="71"/>
      <c r="D33" s="71"/>
      <c r="E33" s="71"/>
      <c r="F33" s="71"/>
      <c r="G33" s="71"/>
      <c r="H33" s="71"/>
      <c r="I33" s="71"/>
      <c r="J33" s="74"/>
      <c r="K33" s="75"/>
      <c r="L33" s="74"/>
      <c r="M33" s="75"/>
      <c r="N33" s="76"/>
    </row>
    <row r="34" spans="1:14" ht="23.25">
      <c r="A34" s="71"/>
      <c r="B34" s="71"/>
      <c r="C34" s="71"/>
      <c r="D34" s="71"/>
      <c r="E34" s="71"/>
      <c r="F34" s="71"/>
      <c r="G34" s="71"/>
      <c r="H34" s="71"/>
      <c r="I34" s="71"/>
      <c r="J34" s="74"/>
      <c r="K34" s="75"/>
      <c r="L34" s="74"/>
      <c r="M34" s="75"/>
      <c r="N34" s="76"/>
    </row>
    <row r="35" spans="1:14" ht="23.25">
      <c r="A35" s="71"/>
      <c r="B35" s="71"/>
      <c r="C35" s="71"/>
      <c r="D35" s="71"/>
      <c r="E35" s="71"/>
      <c r="F35" s="71"/>
      <c r="G35" s="71"/>
      <c r="H35" s="71"/>
      <c r="I35" s="71"/>
      <c r="J35" s="74"/>
      <c r="K35" s="75"/>
      <c r="L35" s="74"/>
      <c r="M35" s="75"/>
      <c r="N35" s="76"/>
    </row>
    <row r="36" spans="1:14" ht="23.25">
      <c r="A36" s="71"/>
      <c r="B36" s="71"/>
      <c r="C36" s="71"/>
      <c r="D36" s="71"/>
      <c r="E36" s="71"/>
      <c r="F36" s="71"/>
      <c r="G36" s="71"/>
      <c r="H36" s="71"/>
      <c r="I36" s="71"/>
      <c r="J36" s="74"/>
      <c r="K36" s="75"/>
      <c r="L36" s="74"/>
      <c r="M36" s="75"/>
      <c r="N36" s="76"/>
    </row>
    <row r="37" spans="10:14" ht="23.25">
      <c r="J37" s="74"/>
      <c r="K37" s="75"/>
      <c r="L37" s="74"/>
      <c r="M37" s="75"/>
      <c r="N37" s="77"/>
    </row>
    <row r="38" spans="10:14" ht="23.25">
      <c r="J38" s="74"/>
      <c r="K38" s="75"/>
      <c r="L38" s="74"/>
      <c r="M38" s="75"/>
      <c r="N38" s="77"/>
    </row>
    <row r="39" spans="10:14" ht="23.25">
      <c r="J39" s="74"/>
      <c r="K39" s="75"/>
      <c r="L39" s="74"/>
      <c r="M39" s="75"/>
      <c r="N39" s="77"/>
    </row>
    <row r="40" spans="10:14" ht="23.25">
      <c r="J40" s="74"/>
      <c r="K40" s="75"/>
      <c r="L40" s="74"/>
      <c r="M40" s="75"/>
      <c r="N40" s="77"/>
    </row>
    <row r="41" spans="11:14" ht="23.25">
      <c r="K41" s="77"/>
      <c r="L41" s="77"/>
      <c r="M41" s="77"/>
      <c r="N41" s="77"/>
    </row>
    <row r="42" spans="11:14" ht="23.25">
      <c r="K42" s="77"/>
      <c r="L42" s="77"/>
      <c r="M42" s="77"/>
      <c r="N42" s="77"/>
    </row>
    <row r="43" spans="11:14" ht="23.25">
      <c r="K43" s="77"/>
      <c r="L43" s="77"/>
      <c r="M43" s="77"/>
      <c r="N43" s="77"/>
    </row>
    <row r="44" spans="11:14" ht="23.25">
      <c r="K44" s="77"/>
      <c r="L44" s="77"/>
      <c r="M44" s="77"/>
      <c r="N44" s="77"/>
    </row>
    <row r="45" spans="11:14" ht="23.25">
      <c r="K45" s="77"/>
      <c r="L45" s="77"/>
      <c r="M45" s="77"/>
      <c r="N45" s="77"/>
    </row>
    <row r="46" spans="11:14" ht="23.25">
      <c r="K46" s="77"/>
      <c r="L46" s="77"/>
      <c r="M46" s="77"/>
      <c r="N46" s="77"/>
    </row>
    <row r="47" spans="11:14" ht="23.25">
      <c r="K47" s="77"/>
      <c r="L47" s="77"/>
      <c r="M47" s="77"/>
      <c r="N47" s="77"/>
    </row>
    <row r="48" spans="11:14" ht="23.25">
      <c r="K48" s="77"/>
      <c r="L48" s="77"/>
      <c r="M48" s="77"/>
      <c r="N48" s="77"/>
    </row>
  </sheetData>
  <sheetProtection/>
  <mergeCells count="5">
    <mergeCell ref="J3:Q3"/>
    <mergeCell ref="R3:T3"/>
    <mergeCell ref="A1:T1"/>
    <mergeCell ref="B3:I3"/>
    <mergeCell ref="A3:A4"/>
  </mergeCells>
  <printOptions horizontalCentered="1"/>
  <pageMargins left="0.236220472440945" right="0" top="0.393700787401575" bottom="0" header="0.511811023622047" footer="0.511811023622047"/>
  <pageSetup orientation="landscape" paperSize="5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98" zoomScaleNormal="98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58" sqref="U58"/>
    </sheetView>
  </sheetViews>
  <sheetFormatPr defaultColWidth="9.140625" defaultRowHeight="12.75"/>
  <cols>
    <col min="1" max="1" width="34.7109375" style="116" customWidth="1"/>
    <col min="2" max="2" width="5.57421875" style="116" customWidth="1"/>
    <col min="3" max="3" width="14.8515625" style="164" customWidth="1"/>
    <col min="4" max="6" width="14.8515625" style="104" customWidth="1"/>
    <col min="7" max="9" width="14.8515625" style="166" customWidth="1"/>
    <col min="10" max="17" width="14.8515625" style="104" customWidth="1"/>
    <col min="18" max="18" width="14.8515625" style="174" customWidth="1"/>
    <col min="19" max="19" width="10.00390625" style="104" bestFit="1" customWidth="1"/>
    <col min="20" max="16384" width="9.140625" style="104" customWidth="1"/>
  </cols>
  <sheetData>
    <row r="1" spans="1:5" ht="21.75">
      <c r="A1" s="115" t="s">
        <v>73</v>
      </c>
      <c r="B1" s="115"/>
      <c r="C1" s="163"/>
      <c r="D1" s="115"/>
      <c r="E1" s="115"/>
    </row>
    <row r="2" ht="21.75" customHeight="1">
      <c r="R2" s="585" t="s">
        <v>17</v>
      </c>
    </row>
    <row r="3" spans="1:18" ht="21.75" customHeight="1">
      <c r="A3" s="699" t="s">
        <v>31</v>
      </c>
      <c r="B3" s="213"/>
      <c r="C3" s="702" t="s">
        <v>40</v>
      </c>
      <c r="D3" s="703"/>
      <c r="E3" s="703"/>
      <c r="F3" s="703"/>
      <c r="G3" s="703"/>
      <c r="H3" s="703"/>
      <c r="I3" s="703"/>
      <c r="J3" s="704"/>
      <c r="K3" s="701" t="s">
        <v>41</v>
      </c>
      <c r="L3" s="701"/>
      <c r="M3" s="701"/>
      <c r="N3" s="701"/>
      <c r="O3" s="701"/>
      <c r="P3" s="701"/>
      <c r="Q3" s="701"/>
      <c r="R3" s="697" t="s">
        <v>18</v>
      </c>
    </row>
    <row r="4" spans="1:18" ht="132" customHeight="1">
      <c r="A4" s="700"/>
      <c r="B4" s="211"/>
      <c r="C4" s="167" t="s">
        <v>82</v>
      </c>
      <c r="D4" s="8" t="s">
        <v>83</v>
      </c>
      <c r="E4" s="8" t="s">
        <v>81</v>
      </c>
      <c r="F4" s="313" t="s">
        <v>296</v>
      </c>
      <c r="G4" s="167" t="s">
        <v>84</v>
      </c>
      <c r="H4" s="167" t="s">
        <v>243</v>
      </c>
      <c r="I4" s="167" t="s">
        <v>85</v>
      </c>
      <c r="J4" s="8" t="s">
        <v>18</v>
      </c>
      <c r="K4" s="217" t="s">
        <v>244</v>
      </c>
      <c r="L4" s="218" t="s">
        <v>245</v>
      </c>
      <c r="M4" s="8" t="s">
        <v>118</v>
      </c>
      <c r="N4" s="313" t="s">
        <v>375</v>
      </c>
      <c r="O4" s="8" t="s">
        <v>295</v>
      </c>
      <c r="P4" s="167" t="s">
        <v>297</v>
      </c>
      <c r="Q4" s="8" t="s">
        <v>18</v>
      </c>
      <c r="R4" s="698"/>
    </row>
    <row r="5" spans="1:18" ht="21.75">
      <c r="A5" s="9" t="s">
        <v>32</v>
      </c>
      <c r="B5" s="9"/>
      <c r="C5" s="165"/>
      <c r="D5" s="10"/>
      <c r="E5" s="10"/>
      <c r="F5" s="10"/>
      <c r="G5" s="156"/>
      <c r="H5" s="156"/>
      <c r="I5" s="156"/>
      <c r="J5" s="10"/>
      <c r="K5" s="10"/>
      <c r="L5" s="10"/>
      <c r="M5" s="10"/>
      <c r="N5" s="10"/>
      <c r="O5" s="10"/>
      <c r="P5" s="10"/>
      <c r="Q5" s="10"/>
      <c r="R5" s="586"/>
    </row>
    <row r="6" spans="1:18" ht="21.75" customHeight="1">
      <c r="A6" s="155" t="s">
        <v>115</v>
      </c>
      <c r="B6" s="11">
        <v>10</v>
      </c>
      <c r="C6" s="332">
        <v>6055488.709999999</v>
      </c>
      <c r="D6" s="335">
        <v>232000</v>
      </c>
      <c r="E6" s="335">
        <v>2708811.11</v>
      </c>
      <c r="F6" s="336">
        <v>2752187.04</v>
      </c>
      <c r="G6" s="332">
        <v>698.37</v>
      </c>
      <c r="H6" s="332">
        <v>0</v>
      </c>
      <c r="I6" s="332">
        <v>3</v>
      </c>
      <c r="J6" s="336">
        <f>SUM(C6:I6)</f>
        <v>11749188.229999999</v>
      </c>
      <c r="K6" s="335">
        <v>626565.83</v>
      </c>
      <c r="L6" s="335">
        <v>0</v>
      </c>
      <c r="M6" s="335">
        <v>0</v>
      </c>
      <c r="N6" s="335">
        <v>798181.7</v>
      </c>
      <c r="O6" s="336">
        <v>93172.02</v>
      </c>
      <c r="Q6" s="336">
        <f>SUM(K6:P6)</f>
        <v>1517919.5499999998</v>
      </c>
      <c r="R6" s="334">
        <f>J6+Q6</f>
        <v>13267107.779999997</v>
      </c>
    </row>
    <row r="7" spans="1:18" ht="21.75" customHeight="1">
      <c r="A7" s="155" t="s">
        <v>116</v>
      </c>
      <c r="B7" s="11">
        <v>11</v>
      </c>
      <c r="C7" s="332">
        <v>3993017.99</v>
      </c>
      <c r="D7" s="335">
        <v>154840</v>
      </c>
      <c r="E7" s="335">
        <v>5244443.57</v>
      </c>
      <c r="F7" s="332">
        <v>14453862.84</v>
      </c>
      <c r="G7" s="332">
        <v>157108.82999999996</v>
      </c>
      <c r="H7" s="332">
        <v>0</v>
      </c>
      <c r="I7" s="332">
        <v>0</v>
      </c>
      <c r="J7" s="336">
        <f aca="true" t="shared" si="0" ref="J7:J40">SUM(C7:I7)</f>
        <v>24003273.229999997</v>
      </c>
      <c r="K7" s="335">
        <v>417970.15</v>
      </c>
      <c r="L7" s="335">
        <v>0</v>
      </c>
      <c r="M7" s="335">
        <v>0</v>
      </c>
      <c r="N7" s="335">
        <v>675384.51</v>
      </c>
      <c r="O7" s="335">
        <v>78837.87</v>
      </c>
      <c r="P7" s="336">
        <v>0</v>
      </c>
      <c r="Q7" s="336">
        <f>SUM(K7:P7)</f>
        <v>1172192.5300000003</v>
      </c>
      <c r="R7" s="334">
        <f aca="true" t="shared" si="1" ref="R7:R40">J7+Q7</f>
        <v>25175465.759999998</v>
      </c>
    </row>
    <row r="8" spans="1:18" s="174" customFormat="1" ht="21.75" customHeight="1">
      <c r="A8" s="155" t="s">
        <v>103</v>
      </c>
      <c r="B8" s="155">
        <v>13</v>
      </c>
      <c r="C8" s="332">
        <v>8256701.32</v>
      </c>
      <c r="D8" s="332">
        <v>151265.58</v>
      </c>
      <c r="E8" s="332">
        <v>86602.91</v>
      </c>
      <c r="F8" s="332">
        <v>93296393.55999999</v>
      </c>
      <c r="G8" s="332">
        <v>117899.24999999999</v>
      </c>
      <c r="H8" s="332">
        <v>0</v>
      </c>
      <c r="I8" s="332">
        <v>6</v>
      </c>
      <c r="J8" s="334">
        <f t="shared" si="0"/>
        <v>101908868.61999999</v>
      </c>
      <c r="K8" s="332">
        <v>836162.81</v>
      </c>
      <c r="L8" s="335">
        <v>0</v>
      </c>
      <c r="M8" s="332">
        <v>0</v>
      </c>
      <c r="N8" s="332">
        <v>1473566.21</v>
      </c>
      <c r="O8" s="332">
        <v>172009.88</v>
      </c>
      <c r="P8" s="336">
        <v>0</v>
      </c>
      <c r="Q8" s="336">
        <f aca="true" t="shared" si="2" ref="Q8:Q37">SUM(K8:P8)</f>
        <v>2481738.9</v>
      </c>
      <c r="R8" s="334">
        <f t="shared" si="1"/>
        <v>104390607.52</v>
      </c>
    </row>
    <row r="9" spans="1:18" s="174" customFormat="1" ht="21.75">
      <c r="A9" s="155" t="s">
        <v>136</v>
      </c>
      <c r="B9" s="155">
        <v>14</v>
      </c>
      <c r="C9" s="332">
        <v>6817683.989999998</v>
      </c>
      <c r="D9" s="332">
        <v>289940</v>
      </c>
      <c r="E9" s="332">
        <v>0</v>
      </c>
      <c r="F9" s="332">
        <v>38427957.14999999</v>
      </c>
      <c r="G9" s="332">
        <v>4731042.96</v>
      </c>
      <c r="H9" s="332">
        <v>0</v>
      </c>
      <c r="I9" s="332">
        <v>25</v>
      </c>
      <c r="J9" s="334">
        <f t="shared" si="0"/>
        <v>50266649.09999999</v>
      </c>
      <c r="K9" s="332">
        <v>418748.93</v>
      </c>
      <c r="L9" s="335">
        <v>0</v>
      </c>
      <c r="M9" s="332">
        <v>0</v>
      </c>
      <c r="N9" s="332">
        <v>798523.11</v>
      </c>
      <c r="O9" s="332">
        <v>129007.41</v>
      </c>
      <c r="P9" s="336">
        <v>0</v>
      </c>
      <c r="Q9" s="336">
        <f t="shared" si="2"/>
        <v>1346279.45</v>
      </c>
      <c r="R9" s="334">
        <f t="shared" si="1"/>
        <v>51612928.54999999</v>
      </c>
    </row>
    <row r="10" spans="1:18" ht="21.75">
      <c r="A10" s="155" t="s">
        <v>372</v>
      </c>
      <c r="B10" s="11">
        <v>16</v>
      </c>
      <c r="C10" s="332">
        <v>6627999.399999999</v>
      </c>
      <c r="D10" s="335">
        <v>5062421.1</v>
      </c>
      <c r="E10" s="335">
        <v>14013817.140000002</v>
      </c>
      <c r="F10" s="335">
        <v>14918049.759999998</v>
      </c>
      <c r="G10" s="332">
        <v>26225.28</v>
      </c>
      <c r="H10" s="332">
        <v>0</v>
      </c>
      <c r="I10" s="332">
        <v>2</v>
      </c>
      <c r="J10" s="336">
        <f t="shared" si="0"/>
        <v>40648514.68</v>
      </c>
      <c r="K10" s="335">
        <v>783513.24</v>
      </c>
      <c r="L10" s="335">
        <v>0</v>
      </c>
      <c r="M10" s="335">
        <v>0</v>
      </c>
      <c r="N10" s="335">
        <v>1166573.25</v>
      </c>
      <c r="O10" s="335">
        <v>136174.49000000005</v>
      </c>
      <c r="P10" s="336">
        <v>0</v>
      </c>
      <c r="Q10" s="336">
        <f t="shared" si="2"/>
        <v>2086260.98</v>
      </c>
      <c r="R10" s="334">
        <f t="shared" si="1"/>
        <v>42734775.66</v>
      </c>
    </row>
    <row r="11" spans="1:18" s="174" customFormat="1" ht="21.75">
      <c r="A11" s="155" t="s">
        <v>373</v>
      </c>
      <c r="B11" s="155">
        <v>17</v>
      </c>
      <c r="C11" s="332">
        <v>6052372.4399999995</v>
      </c>
      <c r="D11" s="332">
        <v>389586.33</v>
      </c>
      <c r="E11" s="332">
        <v>975127.03</v>
      </c>
      <c r="F11" s="332">
        <v>39263</v>
      </c>
      <c r="G11" s="332">
        <v>2369.9700000000003</v>
      </c>
      <c r="H11" s="332">
        <v>0</v>
      </c>
      <c r="I11" s="332">
        <v>2</v>
      </c>
      <c r="J11" s="334">
        <f t="shared" si="0"/>
        <v>7458720.77</v>
      </c>
      <c r="K11" s="332">
        <v>626899.6</v>
      </c>
      <c r="L11" s="335">
        <v>0</v>
      </c>
      <c r="M11" s="332">
        <v>0</v>
      </c>
      <c r="N11" s="332">
        <v>982377.48</v>
      </c>
      <c r="O11" s="332">
        <v>114673.25</v>
      </c>
      <c r="P11" s="336">
        <v>0</v>
      </c>
      <c r="Q11" s="334">
        <f t="shared" si="2"/>
        <v>1723950.33</v>
      </c>
      <c r="R11" s="334">
        <f t="shared" si="1"/>
        <v>9182671.1</v>
      </c>
    </row>
    <row r="12" spans="1:18" s="174" customFormat="1" ht="21.75">
      <c r="A12" s="155" t="s">
        <v>374</v>
      </c>
      <c r="B12" s="155">
        <v>18</v>
      </c>
      <c r="C12" s="332">
        <v>3629890.1</v>
      </c>
      <c r="D12" s="332">
        <v>414964</v>
      </c>
      <c r="E12" s="332">
        <v>3922208.75</v>
      </c>
      <c r="F12" s="332">
        <v>11526106.78</v>
      </c>
      <c r="G12" s="332">
        <v>1058.54</v>
      </c>
      <c r="H12" s="332">
        <v>0</v>
      </c>
      <c r="I12" s="332">
        <v>3</v>
      </c>
      <c r="J12" s="334">
        <f t="shared" si="0"/>
        <v>19494231.169999998</v>
      </c>
      <c r="K12" s="332">
        <v>209485.72</v>
      </c>
      <c r="L12" s="335">
        <v>0</v>
      </c>
      <c r="M12" s="332">
        <v>0</v>
      </c>
      <c r="N12" s="332">
        <v>613985.92</v>
      </c>
      <c r="O12" s="332">
        <v>71670.79</v>
      </c>
      <c r="P12" s="336">
        <v>0</v>
      </c>
      <c r="Q12" s="336">
        <f t="shared" si="2"/>
        <v>895142.43</v>
      </c>
      <c r="R12" s="334">
        <f t="shared" si="1"/>
        <v>20389373.599999998</v>
      </c>
    </row>
    <row r="13" spans="1:18" s="174" customFormat="1" ht="21.75">
      <c r="A13" s="155" t="s">
        <v>367</v>
      </c>
      <c r="B13" s="155">
        <v>19</v>
      </c>
      <c r="C13" s="332">
        <v>6374450.709999999</v>
      </c>
      <c r="D13" s="332">
        <v>0</v>
      </c>
      <c r="E13" s="332">
        <v>0</v>
      </c>
      <c r="F13" s="334">
        <v>12271.119999999999</v>
      </c>
      <c r="G13" s="332">
        <v>0</v>
      </c>
      <c r="H13" s="332">
        <v>0</v>
      </c>
      <c r="I13" s="332">
        <v>3</v>
      </c>
      <c r="J13" s="334">
        <f t="shared" si="0"/>
        <v>6386724.829999999</v>
      </c>
      <c r="K13" s="332">
        <v>783513.24</v>
      </c>
      <c r="L13" s="335">
        <v>0</v>
      </c>
      <c r="M13" s="332">
        <v>0</v>
      </c>
      <c r="N13" s="332">
        <v>1166573.25</v>
      </c>
      <c r="O13" s="332">
        <v>136174.49000000005</v>
      </c>
      <c r="P13" s="336">
        <v>0</v>
      </c>
      <c r="Q13" s="336">
        <f t="shared" si="2"/>
        <v>2086260.98</v>
      </c>
      <c r="R13" s="334">
        <f t="shared" si="1"/>
        <v>8472985.809999999</v>
      </c>
    </row>
    <row r="14" spans="1:18" ht="21.75">
      <c r="A14" s="155" t="s">
        <v>368</v>
      </c>
      <c r="B14" s="11">
        <v>20</v>
      </c>
      <c r="C14" s="332">
        <v>9424207.000000002</v>
      </c>
      <c r="D14" s="332">
        <v>0</v>
      </c>
      <c r="E14" s="332">
        <v>0</v>
      </c>
      <c r="F14" s="335">
        <v>15666.05</v>
      </c>
      <c r="G14" s="332">
        <v>2058.01</v>
      </c>
      <c r="H14" s="332">
        <v>0</v>
      </c>
      <c r="I14" s="332">
        <v>7</v>
      </c>
      <c r="J14" s="336">
        <f t="shared" si="0"/>
        <v>9441938.060000002</v>
      </c>
      <c r="K14" s="335">
        <v>888144.85</v>
      </c>
      <c r="L14" s="335">
        <v>0</v>
      </c>
      <c r="M14" s="335">
        <v>0</v>
      </c>
      <c r="N14" s="335">
        <v>1412167.62</v>
      </c>
      <c r="O14" s="335">
        <v>164842.8</v>
      </c>
      <c r="P14" s="336">
        <v>0</v>
      </c>
      <c r="Q14" s="336">
        <f t="shared" si="2"/>
        <v>2465155.27</v>
      </c>
      <c r="R14" s="334">
        <f t="shared" si="1"/>
        <v>11907093.330000002</v>
      </c>
    </row>
    <row r="15" spans="1:18" ht="21.75">
      <c r="A15" s="155" t="s">
        <v>369</v>
      </c>
      <c r="B15" s="11">
        <v>21</v>
      </c>
      <c r="C15" s="332">
        <v>9531140.03</v>
      </c>
      <c r="D15" s="332">
        <v>0</v>
      </c>
      <c r="E15" s="332">
        <v>0</v>
      </c>
      <c r="F15" s="335">
        <v>8337.45</v>
      </c>
      <c r="G15" s="332">
        <v>7106.01</v>
      </c>
      <c r="H15" s="332">
        <v>0</v>
      </c>
      <c r="I15" s="332">
        <v>4</v>
      </c>
      <c r="J15" s="336">
        <f t="shared" si="0"/>
        <v>9546587.489999998</v>
      </c>
      <c r="K15" s="335">
        <v>940238.14</v>
      </c>
      <c r="L15" s="335">
        <v>0</v>
      </c>
      <c r="M15" s="335">
        <v>0</v>
      </c>
      <c r="N15" s="335">
        <v>1412167.62</v>
      </c>
      <c r="O15" s="335">
        <v>164842.8</v>
      </c>
      <c r="P15" s="336">
        <v>0</v>
      </c>
      <c r="Q15" s="336">
        <f t="shared" si="2"/>
        <v>2517248.56</v>
      </c>
      <c r="R15" s="334">
        <f t="shared" si="1"/>
        <v>12063836.049999999</v>
      </c>
    </row>
    <row r="16" spans="1:18" ht="21.75">
      <c r="A16" s="155" t="s">
        <v>370</v>
      </c>
      <c r="B16" s="11">
        <v>22</v>
      </c>
      <c r="C16" s="332">
        <v>7360651.489999999</v>
      </c>
      <c r="D16" s="332">
        <v>0</v>
      </c>
      <c r="E16" s="332">
        <v>0</v>
      </c>
      <c r="F16" s="335">
        <v>5267.9</v>
      </c>
      <c r="G16" s="332">
        <v>4271.96</v>
      </c>
      <c r="H16" s="332">
        <v>0</v>
      </c>
      <c r="I16" s="332">
        <v>7</v>
      </c>
      <c r="J16" s="336">
        <f t="shared" si="0"/>
        <v>7370198.35</v>
      </c>
      <c r="K16" s="336">
        <v>678992.89</v>
      </c>
      <c r="L16" s="335">
        <v>0</v>
      </c>
      <c r="M16" s="335">
        <v>0</v>
      </c>
      <c r="N16" s="335">
        <v>982377.48</v>
      </c>
      <c r="O16" s="336">
        <v>168756.95</v>
      </c>
      <c r="P16" s="336">
        <v>0</v>
      </c>
      <c r="Q16" s="336">
        <f t="shared" si="2"/>
        <v>1830127.32</v>
      </c>
      <c r="R16" s="334">
        <f t="shared" si="1"/>
        <v>9200325.67</v>
      </c>
    </row>
    <row r="17" spans="1:18" ht="21.75">
      <c r="A17" s="155" t="s">
        <v>371</v>
      </c>
      <c r="B17" s="11">
        <v>44</v>
      </c>
      <c r="C17" s="332">
        <f>1083116.12+5414758.7</f>
        <v>6497874.82</v>
      </c>
      <c r="D17" s="332">
        <v>0</v>
      </c>
      <c r="E17" s="332">
        <v>0</v>
      </c>
      <c r="F17" s="335">
        <v>5232.1</v>
      </c>
      <c r="G17" s="332">
        <v>42657.83</v>
      </c>
      <c r="H17" s="332">
        <v>0</v>
      </c>
      <c r="I17" s="332">
        <v>0</v>
      </c>
      <c r="J17" s="336">
        <f t="shared" si="0"/>
        <v>6545764.75</v>
      </c>
      <c r="K17" s="336">
        <v>731197.44</v>
      </c>
      <c r="L17" s="335">
        <v>0</v>
      </c>
      <c r="M17" s="335">
        <v>0</v>
      </c>
      <c r="N17" s="335">
        <v>1043776.07</v>
      </c>
      <c r="O17" s="336">
        <v>67756.63</v>
      </c>
      <c r="P17" s="336">
        <v>0</v>
      </c>
      <c r="Q17" s="336">
        <f t="shared" si="2"/>
        <v>1842730.1399999997</v>
      </c>
      <c r="R17" s="334">
        <f t="shared" si="1"/>
        <v>8388494.89</v>
      </c>
    </row>
    <row r="18" spans="1:18" ht="21.75">
      <c r="A18" s="155" t="s">
        <v>104</v>
      </c>
      <c r="B18" s="11">
        <v>23</v>
      </c>
      <c r="C18" s="332">
        <f>10027706.92-5414758.7</f>
        <v>4612948.22</v>
      </c>
      <c r="D18" s="335">
        <v>381821.03</v>
      </c>
      <c r="E18" s="335">
        <v>376405.69</v>
      </c>
      <c r="F18" s="335">
        <v>1802727.06</v>
      </c>
      <c r="G18" s="332">
        <v>11130.099999999999</v>
      </c>
      <c r="H18" s="332">
        <v>0</v>
      </c>
      <c r="I18" s="332">
        <v>2</v>
      </c>
      <c r="J18" s="336">
        <f t="shared" si="0"/>
        <v>7185034.1</v>
      </c>
      <c r="K18" s="336">
        <v>208373.17</v>
      </c>
      <c r="L18" s="335">
        <v>0</v>
      </c>
      <c r="M18" s="336">
        <v>0</v>
      </c>
      <c r="N18" s="336">
        <v>0</v>
      </c>
      <c r="O18" s="336">
        <v>0</v>
      </c>
      <c r="P18" s="336">
        <v>0</v>
      </c>
      <c r="Q18" s="336">
        <f t="shared" si="2"/>
        <v>208373.17</v>
      </c>
      <c r="R18" s="334">
        <f t="shared" si="1"/>
        <v>7393407.27</v>
      </c>
    </row>
    <row r="19" spans="1:18" ht="21.75">
      <c r="A19" s="155" t="s">
        <v>120</v>
      </c>
      <c r="B19" s="11">
        <v>24</v>
      </c>
      <c r="C19" s="332">
        <v>1264623.68</v>
      </c>
      <c r="D19" s="335">
        <v>359803.2</v>
      </c>
      <c r="E19" s="335">
        <v>70091.11</v>
      </c>
      <c r="F19" s="335">
        <v>822509.65</v>
      </c>
      <c r="G19" s="332">
        <v>11626.799999999997</v>
      </c>
      <c r="H19" s="332">
        <v>0</v>
      </c>
      <c r="I19" s="332">
        <v>0</v>
      </c>
      <c r="J19" s="336">
        <f t="shared" si="0"/>
        <v>2528654.44</v>
      </c>
      <c r="K19" s="336">
        <v>52093.29</v>
      </c>
      <c r="L19" s="335">
        <v>0</v>
      </c>
      <c r="M19" s="336">
        <v>0</v>
      </c>
      <c r="N19" s="336">
        <v>0</v>
      </c>
      <c r="O19" s="336">
        <v>0</v>
      </c>
      <c r="P19" s="336">
        <v>0</v>
      </c>
      <c r="Q19" s="336">
        <f t="shared" si="2"/>
        <v>52093.29</v>
      </c>
      <c r="R19" s="334">
        <f t="shared" si="1"/>
        <v>2580747.73</v>
      </c>
    </row>
    <row r="20" spans="1:18" ht="21.75">
      <c r="A20" s="155" t="s">
        <v>105</v>
      </c>
      <c r="B20" s="11">
        <v>25</v>
      </c>
      <c r="C20" s="332">
        <v>4972503.98</v>
      </c>
      <c r="D20" s="335">
        <v>517813</v>
      </c>
      <c r="E20" s="335">
        <v>395251.2</v>
      </c>
      <c r="F20" s="335">
        <v>951128.68</v>
      </c>
      <c r="G20" s="332">
        <v>771315.0000000001</v>
      </c>
      <c r="H20" s="332">
        <v>0</v>
      </c>
      <c r="I20" s="332">
        <v>2</v>
      </c>
      <c r="J20" s="336">
        <f t="shared" si="0"/>
        <v>7608013.86</v>
      </c>
      <c r="K20" s="336">
        <v>260466.47</v>
      </c>
      <c r="L20" s="335">
        <v>0</v>
      </c>
      <c r="M20" s="336">
        <v>0</v>
      </c>
      <c r="N20" s="336">
        <v>0</v>
      </c>
      <c r="O20" s="336">
        <v>0</v>
      </c>
      <c r="P20" s="336">
        <v>0</v>
      </c>
      <c r="Q20" s="336">
        <f t="shared" si="2"/>
        <v>260466.47</v>
      </c>
      <c r="R20" s="334">
        <f t="shared" si="1"/>
        <v>7868480.33</v>
      </c>
    </row>
    <row r="21" spans="1:18" ht="21.75">
      <c r="A21" s="155" t="s">
        <v>121</v>
      </c>
      <c r="B21" s="11">
        <v>26</v>
      </c>
      <c r="C21" s="332">
        <v>2710870.5</v>
      </c>
      <c r="D21" s="335">
        <v>445752.83999999997</v>
      </c>
      <c r="E21" s="335">
        <v>404546.25</v>
      </c>
      <c r="F21" s="335">
        <v>1016014.3300000001</v>
      </c>
      <c r="G21" s="332">
        <v>27862.97</v>
      </c>
      <c r="H21" s="332">
        <v>0</v>
      </c>
      <c r="I21" s="332">
        <v>3</v>
      </c>
      <c r="J21" s="336">
        <f t="shared" si="0"/>
        <v>4605049.89</v>
      </c>
      <c r="K21" s="336">
        <v>156279.88</v>
      </c>
      <c r="L21" s="335">
        <v>0</v>
      </c>
      <c r="M21" s="336">
        <v>0</v>
      </c>
      <c r="N21" s="336">
        <v>0</v>
      </c>
      <c r="O21" s="336">
        <v>0</v>
      </c>
      <c r="P21" s="336">
        <v>0</v>
      </c>
      <c r="Q21" s="336">
        <f t="shared" si="2"/>
        <v>156279.88</v>
      </c>
      <c r="R21" s="334">
        <f t="shared" si="1"/>
        <v>4761329.77</v>
      </c>
    </row>
    <row r="22" spans="1:18" ht="21.75">
      <c r="A22" s="155" t="s">
        <v>122</v>
      </c>
      <c r="B22" s="11">
        <v>27</v>
      </c>
      <c r="C22" s="332">
        <v>7358400.5</v>
      </c>
      <c r="D22" s="335">
        <v>614951</v>
      </c>
      <c r="E22" s="335">
        <v>68241.02</v>
      </c>
      <c r="F22" s="335">
        <v>3234681.46</v>
      </c>
      <c r="G22" s="332">
        <v>981943.39</v>
      </c>
      <c r="H22" s="332">
        <v>0</v>
      </c>
      <c r="I22" s="332">
        <v>2</v>
      </c>
      <c r="J22" s="336">
        <f t="shared" si="0"/>
        <v>12258219.370000001</v>
      </c>
      <c r="K22" s="336">
        <v>520932.93</v>
      </c>
      <c r="L22" s="335">
        <v>0</v>
      </c>
      <c r="M22" s="336">
        <v>0</v>
      </c>
      <c r="N22" s="336">
        <v>0</v>
      </c>
      <c r="O22" s="336">
        <v>0</v>
      </c>
      <c r="P22" s="336">
        <v>0</v>
      </c>
      <c r="Q22" s="336">
        <f t="shared" si="2"/>
        <v>520932.93</v>
      </c>
      <c r="R22" s="334">
        <f t="shared" si="1"/>
        <v>12779152.3</v>
      </c>
    </row>
    <row r="23" spans="1:18" ht="21.75">
      <c r="A23" s="155" t="s">
        <v>106</v>
      </c>
      <c r="B23" s="11">
        <v>28</v>
      </c>
      <c r="C23" s="332">
        <v>2798428.7</v>
      </c>
      <c r="D23" s="335">
        <v>686373.3600000001</v>
      </c>
      <c r="E23" s="335">
        <v>120017.8</v>
      </c>
      <c r="F23" s="335">
        <v>1414502.44</v>
      </c>
      <c r="G23" s="332">
        <v>186555.80000000002</v>
      </c>
      <c r="H23" s="332">
        <v>0</v>
      </c>
      <c r="I23" s="332">
        <v>2</v>
      </c>
      <c r="J23" s="336">
        <f t="shared" si="0"/>
        <v>5205880.100000001</v>
      </c>
      <c r="K23" s="336">
        <v>260466.47</v>
      </c>
      <c r="L23" s="335">
        <v>0</v>
      </c>
      <c r="M23" s="336">
        <v>0</v>
      </c>
      <c r="N23" s="336">
        <v>0</v>
      </c>
      <c r="O23" s="336">
        <v>0</v>
      </c>
      <c r="P23" s="336">
        <v>0</v>
      </c>
      <c r="Q23" s="336">
        <f t="shared" si="2"/>
        <v>260466.47</v>
      </c>
      <c r="R23" s="334">
        <f t="shared" si="1"/>
        <v>5466346.57</v>
      </c>
    </row>
    <row r="24" spans="1:18" ht="21.75">
      <c r="A24" s="155" t="s">
        <v>123</v>
      </c>
      <c r="B24" s="11">
        <v>29</v>
      </c>
      <c r="C24" s="332">
        <v>3413759.36</v>
      </c>
      <c r="D24" s="335">
        <v>662837.84</v>
      </c>
      <c r="E24" s="335">
        <v>289191.63</v>
      </c>
      <c r="F24" s="335">
        <v>1235051.99</v>
      </c>
      <c r="G24" s="332">
        <v>78627.58999999998</v>
      </c>
      <c r="H24" s="332">
        <v>0</v>
      </c>
      <c r="I24" s="332">
        <v>0</v>
      </c>
      <c r="J24" s="336">
        <f t="shared" si="0"/>
        <v>5679468.41</v>
      </c>
      <c r="K24" s="335">
        <v>208373.17</v>
      </c>
      <c r="L24" s="335">
        <v>0</v>
      </c>
      <c r="M24" s="336">
        <v>0</v>
      </c>
      <c r="N24" s="336">
        <v>0</v>
      </c>
      <c r="O24" s="336">
        <v>0</v>
      </c>
      <c r="P24" s="336">
        <v>0</v>
      </c>
      <c r="Q24" s="336">
        <f t="shared" si="2"/>
        <v>208373.17</v>
      </c>
      <c r="R24" s="334">
        <f t="shared" si="1"/>
        <v>5887841.58</v>
      </c>
    </row>
    <row r="25" spans="1:19" ht="21.75">
      <c r="A25" s="11" t="s">
        <v>230</v>
      </c>
      <c r="B25" s="11">
        <v>30</v>
      </c>
      <c r="C25" s="332">
        <v>11396135.129999999</v>
      </c>
      <c r="D25" s="335">
        <v>230943.6</v>
      </c>
      <c r="E25" s="335">
        <v>3606180.5</v>
      </c>
      <c r="F25" s="335">
        <v>17539273.56</v>
      </c>
      <c r="G25" s="334">
        <v>416515.66</v>
      </c>
      <c r="H25" s="332">
        <v>317524.98</v>
      </c>
      <c r="I25" s="334">
        <v>0</v>
      </c>
      <c r="J25" s="336">
        <f t="shared" si="0"/>
        <v>33506573.43</v>
      </c>
      <c r="K25" s="336">
        <v>0</v>
      </c>
      <c r="L25" s="335">
        <v>0</v>
      </c>
      <c r="M25" s="336">
        <v>0</v>
      </c>
      <c r="N25" s="336">
        <v>0</v>
      </c>
      <c r="O25" s="336">
        <v>0</v>
      </c>
      <c r="P25" s="336">
        <v>0</v>
      </c>
      <c r="Q25" s="336">
        <f t="shared" si="2"/>
        <v>0</v>
      </c>
      <c r="R25" s="334">
        <f t="shared" si="1"/>
        <v>33506573.43</v>
      </c>
      <c r="S25" s="220"/>
    </row>
    <row r="26" spans="1:19" s="175" customFormat="1" ht="21.75" customHeight="1">
      <c r="A26" s="173" t="s">
        <v>124</v>
      </c>
      <c r="B26" s="173">
        <v>31</v>
      </c>
      <c r="C26" s="334">
        <v>5231662.81</v>
      </c>
      <c r="D26" s="336">
        <v>645666.16</v>
      </c>
      <c r="E26" s="336">
        <v>903234.8199999998</v>
      </c>
      <c r="F26" s="336">
        <v>3637763.4299999997</v>
      </c>
      <c r="G26" s="334">
        <v>337837.76</v>
      </c>
      <c r="H26" s="332">
        <v>404669.46</v>
      </c>
      <c r="I26" s="334">
        <v>0</v>
      </c>
      <c r="J26" s="336">
        <f t="shared" si="0"/>
        <v>11160834.44</v>
      </c>
      <c r="K26" s="336">
        <v>0</v>
      </c>
      <c r="L26" s="335">
        <v>0</v>
      </c>
      <c r="M26" s="336">
        <v>0</v>
      </c>
      <c r="N26" s="336">
        <v>0</v>
      </c>
      <c r="O26" s="336">
        <v>0</v>
      </c>
      <c r="P26" s="336">
        <v>0</v>
      </c>
      <c r="Q26" s="336">
        <f t="shared" si="2"/>
        <v>0</v>
      </c>
      <c r="R26" s="334">
        <f t="shared" si="1"/>
        <v>11160834.44</v>
      </c>
      <c r="S26" s="220"/>
    </row>
    <row r="27" spans="1:19" s="175" customFormat="1" ht="21.75">
      <c r="A27" s="173" t="s">
        <v>125</v>
      </c>
      <c r="B27" s="173">
        <v>32</v>
      </c>
      <c r="C27" s="334">
        <v>10379611.309999999</v>
      </c>
      <c r="D27" s="336">
        <v>266764.52</v>
      </c>
      <c r="E27" s="336">
        <v>2741859.8100000005</v>
      </c>
      <c r="F27" s="336">
        <v>12137404.229999999</v>
      </c>
      <c r="G27" s="334">
        <v>279989.8599999999</v>
      </c>
      <c r="H27" s="334">
        <v>956566.04</v>
      </c>
      <c r="I27" s="334">
        <v>0</v>
      </c>
      <c r="J27" s="336">
        <f t="shared" si="0"/>
        <v>26762195.769999996</v>
      </c>
      <c r="K27" s="336">
        <v>0</v>
      </c>
      <c r="L27" s="335">
        <v>0</v>
      </c>
      <c r="M27" s="336">
        <v>0</v>
      </c>
      <c r="N27" s="336">
        <v>0</v>
      </c>
      <c r="O27" s="336">
        <v>0</v>
      </c>
      <c r="P27" s="336">
        <v>0</v>
      </c>
      <c r="Q27" s="336">
        <f t="shared" si="2"/>
        <v>0</v>
      </c>
      <c r="R27" s="334">
        <f t="shared" si="1"/>
        <v>26762195.769999996</v>
      </c>
      <c r="S27" s="220"/>
    </row>
    <row r="28" spans="1:19" ht="21.75">
      <c r="A28" s="11" t="s">
        <v>126</v>
      </c>
      <c r="B28" s="11">
        <v>33</v>
      </c>
      <c r="C28" s="332">
        <v>14017302.56</v>
      </c>
      <c r="D28" s="335">
        <v>558963.33</v>
      </c>
      <c r="E28" s="335">
        <f>4104496.92-241086.29</f>
        <v>3863410.63</v>
      </c>
      <c r="F28" s="335">
        <f>5283539.71+241086.29</f>
        <v>5524626</v>
      </c>
      <c r="G28" s="334">
        <v>239564.59999999998</v>
      </c>
      <c r="H28" s="334">
        <v>1037423.47</v>
      </c>
      <c r="I28" s="334">
        <v>0</v>
      </c>
      <c r="J28" s="336">
        <f t="shared" si="0"/>
        <v>25241290.59</v>
      </c>
      <c r="K28" s="336">
        <v>0</v>
      </c>
      <c r="L28" s="335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f t="shared" si="2"/>
        <v>0</v>
      </c>
      <c r="R28" s="334">
        <f t="shared" si="1"/>
        <v>25241290.59</v>
      </c>
      <c r="S28" s="220"/>
    </row>
    <row r="29" spans="1:19" ht="21.75" customHeight="1">
      <c r="A29" s="11" t="s">
        <v>127</v>
      </c>
      <c r="B29" s="11">
        <v>34</v>
      </c>
      <c r="C29" s="332">
        <v>14520498.99</v>
      </c>
      <c r="D29" s="335">
        <v>924903.7</v>
      </c>
      <c r="E29" s="335">
        <v>620129.62</v>
      </c>
      <c r="F29" s="335">
        <v>7879674.76</v>
      </c>
      <c r="G29" s="332">
        <v>490738.92</v>
      </c>
      <c r="H29" s="332">
        <v>914671.691863397</v>
      </c>
      <c r="I29" s="334">
        <v>0</v>
      </c>
      <c r="J29" s="336">
        <f t="shared" si="0"/>
        <v>25350617.681863397</v>
      </c>
      <c r="K29" s="336">
        <v>0</v>
      </c>
      <c r="L29" s="335">
        <v>0</v>
      </c>
      <c r="M29" s="336">
        <v>0</v>
      </c>
      <c r="N29" s="336">
        <v>0</v>
      </c>
      <c r="O29" s="336">
        <v>0</v>
      </c>
      <c r="P29" s="336">
        <v>0</v>
      </c>
      <c r="Q29" s="336">
        <f t="shared" si="2"/>
        <v>0</v>
      </c>
      <c r="R29" s="334">
        <f t="shared" si="1"/>
        <v>25350617.681863397</v>
      </c>
      <c r="S29" s="220"/>
    </row>
    <row r="30" spans="1:19" s="175" customFormat="1" ht="21.75" customHeight="1">
      <c r="A30" s="173" t="s">
        <v>128</v>
      </c>
      <c r="B30" s="173">
        <v>35</v>
      </c>
      <c r="C30" s="334">
        <v>6264972.870000001</v>
      </c>
      <c r="D30" s="336">
        <v>2463607.62</v>
      </c>
      <c r="E30" s="336">
        <v>1013140.8399999999</v>
      </c>
      <c r="F30" s="336">
        <v>6359886.269999999</v>
      </c>
      <c r="G30" s="334">
        <v>35782.32</v>
      </c>
      <c r="H30" s="334">
        <v>750092.61</v>
      </c>
      <c r="I30" s="334">
        <v>0</v>
      </c>
      <c r="J30" s="336">
        <f t="shared" si="0"/>
        <v>16887482.53</v>
      </c>
      <c r="K30" s="336">
        <v>0</v>
      </c>
      <c r="L30" s="335">
        <v>0</v>
      </c>
      <c r="M30" s="336">
        <v>0</v>
      </c>
      <c r="N30" s="336">
        <v>0</v>
      </c>
      <c r="O30" s="336">
        <v>0</v>
      </c>
      <c r="P30" s="336">
        <v>0</v>
      </c>
      <c r="Q30" s="336">
        <f t="shared" si="2"/>
        <v>0</v>
      </c>
      <c r="R30" s="334">
        <f t="shared" si="1"/>
        <v>16887482.53</v>
      </c>
      <c r="S30" s="220"/>
    </row>
    <row r="31" spans="1:19" ht="21.75">
      <c r="A31" s="11" t="s">
        <v>129</v>
      </c>
      <c r="B31" s="11">
        <v>36</v>
      </c>
      <c r="C31" s="332">
        <v>12911012.489999998</v>
      </c>
      <c r="D31" s="335">
        <v>945385.7999999999</v>
      </c>
      <c r="E31" s="335">
        <v>980856.1199999999</v>
      </c>
      <c r="F31" s="335">
        <v>4468255.28</v>
      </c>
      <c r="G31" s="332">
        <v>197458.12</v>
      </c>
      <c r="H31" s="332">
        <v>319033.93</v>
      </c>
      <c r="I31" s="334">
        <v>2</v>
      </c>
      <c r="J31" s="336">
        <f t="shared" si="0"/>
        <v>19822003.74</v>
      </c>
      <c r="K31" s="336">
        <v>0</v>
      </c>
      <c r="L31" s="335">
        <v>0</v>
      </c>
      <c r="M31" s="336">
        <v>0</v>
      </c>
      <c r="N31" s="336">
        <v>0</v>
      </c>
      <c r="O31" s="336">
        <v>0</v>
      </c>
      <c r="P31" s="336">
        <v>0</v>
      </c>
      <c r="Q31" s="336">
        <f t="shared" si="2"/>
        <v>0</v>
      </c>
      <c r="R31" s="334">
        <f t="shared" si="1"/>
        <v>19822003.74</v>
      </c>
      <c r="S31" s="220"/>
    </row>
    <row r="32" spans="1:19" ht="21.75">
      <c r="A32" s="11" t="s">
        <v>130</v>
      </c>
      <c r="B32" s="11">
        <v>37</v>
      </c>
      <c r="C32" s="332">
        <v>5431586.5200000005</v>
      </c>
      <c r="D32" s="335">
        <v>652456.14</v>
      </c>
      <c r="E32" s="335">
        <v>486543.98999999993</v>
      </c>
      <c r="F32" s="335">
        <v>8587436.290000001</v>
      </c>
      <c r="G32" s="332">
        <v>68154.87000000001</v>
      </c>
      <c r="H32" s="332">
        <v>596718.94</v>
      </c>
      <c r="I32" s="334">
        <v>14</v>
      </c>
      <c r="J32" s="336">
        <f t="shared" si="0"/>
        <v>15822910.75</v>
      </c>
      <c r="K32" s="336">
        <v>0</v>
      </c>
      <c r="L32" s="335">
        <v>0</v>
      </c>
      <c r="M32" s="336">
        <v>0</v>
      </c>
      <c r="N32" s="336">
        <v>0</v>
      </c>
      <c r="O32" s="336">
        <v>0</v>
      </c>
      <c r="P32" s="336">
        <v>0</v>
      </c>
      <c r="Q32" s="336">
        <f t="shared" si="2"/>
        <v>0</v>
      </c>
      <c r="R32" s="334">
        <f t="shared" si="1"/>
        <v>15822910.75</v>
      </c>
      <c r="S32" s="220"/>
    </row>
    <row r="33" spans="1:19" ht="21.75">
      <c r="A33" s="11" t="s">
        <v>131</v>
      </c>
      <c r="B33" s="11">
        <v>38</v>
      </c>
      <c r="C33" s="332">
        <v>6166749.169999999</v>
      </c>
      <c r="D33" s="335">
        <v>827086.1599999999</v>
      </c>
      <c r="E33" s="335">
        <v>2623759.48</v>
      </c>
      <c r="F33" s="335">
        <v>3857029.04</v>
      </c>
      <c r="G33" s="332">
        <v>42143.45</v>
      </c>
      <c r="H33" s="332">
        <v>186865.46</v>
      </c>
      <c r="I33" s="334">
        <v>0</v>
      </c>
      <c r="J33" s="336">
        <f t="shared" si="0"/>
        <v>13703632.759999998</v>
      </c>
      <c r="K33" s="336">
        <v>0</v>
      </c>
      <c r="L33" s="335">
        <v>0</v>
      </c>
      <c r="M33" s="336">
        <v>0</v>
      </c>
      <c r="N33" s="336">
        <v>0</v>
      </c>
      <c r="O33" s="336">
        <v>0</v>
      </c>
      <c r="P33" s="336">
        <v>0</v>
      </c>
      <c r="Q33" s="336">
        <f t="shared" si="2"/>
        <v>0</v>
      </c>
      <c r="R33" s="334">
        <f t="shared" si="1"/>
        <v>13703632.759999998</v>
      </c>
      <c r="S33" s="220"/>
    </row>
    <row r="34" spans="1:19" ht="21.75">
      <c r="A34" s="173" t="s">
        <v>132</v>
      </c>
      <c r="B34" s="173">
        <v>39</v>
      </c>
      <c r="C34" s="332">
        <v>4576604.859999999</v>
      </c>
      <c r="D34" s="335">
        <v>57660.53</v>
      </c>
      <c r="E34" s="335">
        <v>430544.43</v>
      </c>
      <c r="F34" s="335">
        <v>3592054.3800000004</v>
      </c>
      <c r="G34" s="332">
        <v>26751.069999999996</v>
      </c>
      <c r="H34" s="332">
        <v>287106.63</v>
      </c>
      <c r="I34" s="334">
        <v>0</v>
      </c>
      <c r="J34" s="336">
        <f t="shared" si="0"/>
        <v>8970721.9</v>
      </c>
      <c r="K34" s="336">
        <v>0</v>
      </c>
      <c r="L34" s="335">
        <v>0</v>
      </c>
      <c r="M34" s="336">
        <v>0</v>
      </c>
      <c r="N34" s="336">
        <v>0</v>
      </c>
      <c r="O34" s="336">
        <v>0</v>
      </c>
      <c r="P34" s="336">
        <v>0</v>
      </c>
      <c r="Q34" s="336">
        <f t="shared" si="2"/>
        <v>0</v>
      </c>
      <c r="R34" s="334">
        <f t="shared" si="1"/>
        <v>8970721.9</v>
      </c>
      <c r="S34" s="220"/>
    </row>
    <row r="35" spans="1:19" ht="21.75">
      <c r="A35" s="11" t="s">
        <v>119</v>
      </c>
      <c r="B35" s="11">
        <v>40</v>
      </c>
      <c r="C35" s="332">
        <v>5572932</v>
      </c>
      <c r="D35" s="335">
        <v>366318.06999999995</v>
      </c>
      <c r="E35" s="335">
        <v>638155.52</v>
      </c>
      <c r="F35" s="335">
        <v>8125227.87</v>
      </c>
      <c r="G35" s="332">
        <v>9825.670000000002</v>
      </c>
      <c r="H35" s="332">
        <v>345120.94</v>
      </c>
      <c r="I35" s="334">
        <v>0</v>
      </c>
      <c r="J35" s="336">
        <f t="shared" si="0"/>
        <v>15057580.07</v>
      </c>
      <c r="K35" s="336">
        <v>0</v>
      </c>
      <c r="L35" s="335">
        <v>0</v>
      </c>
      <c r="M35" s="336">
        <v>0</v>
      </c>
      <c r="N35" s="336">
        <v>0</v>
      </c>
      <c r="O35" s="336">
        <v>0</v>
      </c>
      <c r="P35" s="336">
        <v>0</v>
      </c>
      <c r="Q35" s="336">
        <f t="shared" si="2"/>
        <v>0</v>
      </c>
      <c r="R35" s="334">
        <f t="shared" si="1"/>
        <v>15057580.07</v>
      </c>
      <c r="S35" s="220"/>
    </row>
    <row r="36" spans="1:19" s="175" customFormat="1" ht="21.75">
      <c r="A36" s="173" t="s">
        <v>135</v>
      </c>
      <c r="B36" s="173">
        <v>41</v>
      </c>
      <c r="C36" s="334">
        <v>5375915.880000001</v>
      </c>
      <c r="D36" s="336">
        <v>131949.06</v>
      </c>
      <c r="E36" s="336">
        <v>1870384.52</v>
      </c>
      <c r="F36" s="336">
        <v>3455363.1999999997</v>
      </c>
      <c r="G36" s="334">
        <v>167039</v>
      </c>
      <c r="H36" s="334">
        <v>549005.55</v>
      </c>
      <c r="I36" s="334">
        <v>0</v>
      </c>
      <c r="J36" s="336">
        <f t="shared" si="0"/>
        <v>11549657.21</v>
      </c>
      <c r="K36" s="336">
        <v>0</v>
      </c>
      <c r="L36" s="335">
        <v>0</v>
      </c>
      <c r="M36" s="336">
        <v>0</v>
      </c>
      <c r="N36" s="336">
        <v>0</v>
      </c>
      <c r="O36" s="336">
        <v>0</v>
      </c>
      <c r="P36" s="336">
        <v>0</v>
      </c>
      <c r="Q36" s="336">
        <f t="shared" si="2"/>
        <v>0</v>
      </c>
      <c r="R36" s="334">
        <f t="shared" si="1"/>
        <v>11549657.21</v>
      </c>
      <c r="S36" s="220"/>
    </row>
    <row r="37" spans="1:19" ht="21.75">
      <c r="A37" s="11" t="s">
        <v>133</v>
      </c>
      <c r="B37" s="11">
        <v>42</v>
      </c>
      <c r="C37" s="332">
        <v>4740810.960000001</v>
      </c>
      <c r="D37" s="335">
        <v>614789.77</v>
      </c>
      <c r="E37" s="335">
        <v>1564193.6600000001</v>
      </c>
      <c r="F37" s="335">
        <v>6013586.4</v>
      </c>
      <c r="G37" s="332">
        <v>96554.10999999999</v>
      </c>
      <c r="H37" s="332">
        <v>488595.39</v>
      </c>
      <c r="I37" s="334">
        <v>0</v>
      </c>
      <c r="J37" s="336">
        <f t="shared" si="0"/>
        <v>13518530.290000001</v>
      </c>
      <c r="K37" s="336">
        <v>0</v>
      </c>
      <c r="L37" s="335">
        <v>0</v>
      </c>
      <c r="M37" s="336">
        <v>0</v>
      </c>
      <c r="N37" s="336">
        <v>0</v>
      </c>
      <c r="O37" s="336">
        <v>0</v>
      </c>
      <c r="P37" s="336">
        <v>0</v>
      </c>
      <c r="Q37" s="336">
        <f t="shared" si="2"/>
        <v>0</v>
      </c>
      <c r="R37" s="334">
        <f t="shared" si="1"/>
        <v>13518530.290000001</v>
      </c>
      <c r="S37" s="220"/>
    </row>
    <row r="38" spans="1:19" ht="21.75">
      <c r="A38" s="11" t="s">
        <v>134</v>
      </c>
      <c r="B38" s="214">
        <v>43</v>
      </c>
      <c r="C38" s="337">
        <v>4673274.73</v>
      </c>
      <c r="D38" s="335">
        <v>68922.70999999999</v>
      </c>
      <c r="E38" s="335">
        <v>388474.9</v>
      </c>
      <c r="F38" s="335">
        <v>3975182.6399999997</v>
      </c>
      <c r="G38" s="332">
        <v>225946.05000000002</v>
      </c>
      <c r="H38" s="332">
        <v>495581.26</v>
      </c>
      <c r="I38" s="334">
        <v>0</v>
      </c>
      <c r="J38" s="336">
        <f t="shared" si="0"/>
        <v>9827382.290000001</v>
      </c>
      <c r="K38" s="336">
        <v>0</v>
      </c>
      <c r="L38" s="335">
        <v>0</v>
      </c>
      <c r="M38" s="336">
        <v>0</v>
      </c>
      <c r="N38" s="336">
        <v>0</v>
      </c>
      <c r="O38" s="336">
        <v>0</v>
      </c>
      <c r="P38" s="336">
        <v>0</v>
      </c>
      <c r="Q38" s="336">
        <f>SUM(K38:P38)</f>
        <v>0</v>
      </c>
      <c r="R38" s="334">
        <f t="shared" si="1"/>
        <v>9827382.290000001</v>
      </c>
      <c r="S38" s="220"/>
    </row>
    <row r="39" spans="1:19" ht="21.75">
      <c r="A39" s="11" t="s">
        <v>401</v>
      </c>
      <c r="B39" s="214">
        <v>46</v>
      </c>
      <c r="C39" s="337">
        <v>3935700.46</v>
      </c>
      <c r="D39" s="335">
        <v>243423.8800000002</v>
      </c>
      <c r="E39" s="335">
        <v>1316894.280000001</v>
      </c>
      <c r="F39" s="335">
        <v>478210.5199999996</v>
      </c>
      <c r="G39" s="332">
        <v>3456.97</v>
      </c>
      <c r="H39" s="332">
        <v>933684.97</v>
      </c>
      <c r="I39" s="334">
        <v>0</v>
      </c>
      <c r="J39" s="336">
        <f t="shared" si="0"/>
        <v>6911371.08</v>
      </c>
      <c r="K39" s="336">
        <v>0</v>
      </c>
      <c r="L39" s="335">
        <v>0</v>
      </c>
      <c r="M39" s="336">
        <v>0</v>
      </c>
      <c r="N39" s="336">
        <v>0</v>
      </c>
      <c r="O39" s="336">
        <v>0</v>
      </c>
      <c r="P39" s="336">
        <v>0</v>
      </c>
      <c r="Q39" s="336">
        <f>SUM(K39:P39)</f>
        <v>0</v>
      </c>
      <c r="R39" s="334">
        <f t="shared" si="1"/>
        <v>6911371.08</v>
      </c>
      <c r="S39" s="220"/>
    </row>
    <row r="40" spans="1:19" ht="21.75">
      <c r="A40" s="11" t="s">
        <v>402</v>
      </c>
      <c r="B40" s="214">
        <v>47</v>
      </c>
      <c r="C40" s="337">
        <v>3566576.0700000003</v>
      </c>
      <c r="D40" s="335">
        <v>18185.44</v>
      </c>
      <c r="E40" s="335">
        <v>928332.22</v>
      </c>
      <c r="F40" s="335">
        <v>737520.32</v>
      </c>
      <c r="G40" s="332">
        <v>12667.089999999998</v>
      </c>
      <c r="H40" s="332">
        <v>354731.46</v>
      </c>
      <c r="I40" s="334">
        <v>0</v>
      </c>
      <c r="J40" s="336">
        <f t="shared" si="0"/>
        <v>5618012.600000001</v>
      </c>
      <c r="K40" s="336">
        <v>0</v>
      </c>
      <c r="L40" s="335">
        <v>0</v>
      </c>
      <c r="M40" s="336">
        <v>0</v>
      </c>
      <c r="N40" s="336">
        <v>0</v>
      </c>
      <c r="O40" s="336">
        <v>0</v>
      </c>
      <c r="P40" s="336">
        <v>0</v>
      </c>
      <c r="Q40" s="336">
        <f>SUM(K40:P40)</f>
        <v>0</v>
      </c>
      <c r="R40" s="334">
        <f t="shared" si="1"/>
        <v>5618012.600000001</v>
      </c>
      <c r="S40" s="220"/>
    </row>
    <row r="41" spans="1:18" ht="21.75">
      <c r="A41" s="12" t="s">
        <v>33</v>
      </c>
      <c r="B41" s="12"/>
      <c r="C41" s="338"/>
      <c r="D41" s="336"/>
      <c r="E41" s="336"/>
      <c r="F41" s="336"/>
      <c r="G41" s="334"/>
      <c r="H41" s="334"/>
      <c r="I41" s="334"/>
      <c r="J41" s="336"/>
      <c r="K41" s="336"/>
      <c r="L41" s="336"/>
      <c r="M41" s="336"/>
      <c r="N41" s="336"/>
      <c r="O41" s="336"/>
      <c r="P41" s="336"/>
      <c r="Q41" s="336"/>
      <c r="R41" s="334"/>
    </row>
    <row r="42" spans="1:18" s="174" customFormat="1" ht="21.75">
      <c r="A42" s="155" t="s">
        <v>114</v>
      </c>
      <c r="B42" s="215" t="s">
        <v>234</v>
      </c>
      <c r="C42" s="332">
        <v>2256100.2899999996</v>
      </c>
      <c r="D42" s="332">
        <v>28000</v>
      </c>
      <c r="E42" s="332">
        <v>11444.65</v>
      </c>
      <c r="F42" s="332">
        <v>940</v>
      </c>
      <c r="G42" s="332">
        <v>0</v>
      </c>
      <c r="H42" s="332">
        <v>0</v>
      </c>
      <c r="I42" s="334">
        <v>0</v>
      </c>
      <c r="J42" s="334">
        <f aca="true" t="shared" si="3" ref="J42:J52">SUM(C42:I42)</f>
        <v>2296484.9399999995</v>
      </c>
      <c r="K42" s="332">
        <v>156724.9</v>
      </c>
      <c r="L42" s="332">
        <v>0</v>
      </c>
      <c r="M42" s="332">
        <v>0</v>
      </c>
      <c r="N42" s="332">
        <v>245594.37</v>
      </c>
      <c r="O42" s="332">
        <v>28668.31</v>
      </c>
      <c r="P42" s="332">
        <v>0</v>
      </c>
      <c r="Q42" s="334">
        <f>SUM(K42:P42)</f>
        <v>430987.58</v>
      </c>
      <c r="R42" s="334">
        <f aca="true" t="shared" si="4" ref="R42:R52">J42+Q42</f>
        <v>2727472.5199999996</v>
      </c>
    </row>
    <row r="43" spans="1:18" ht="21.75">
      <c r="A43" s="11" t="s">
        <v>113</v>
      </c>
      <c r="B43" s="216" t="s">
        <v>235</v>
      </c>
      <c r="C43" s="332">
        <v>2846467.5</v>
      </c>
      <c r="D43" s="335">
        <v>0</v>
      </c>
      <c r="E43" s="335">
        <v>82435.58</v>
      </c>
      <c r="F43" s="335">
        <v>70401.79000000001</v>
      </c>
      <c r="G43" s="332">
        <v>1638</v>
      </c>
      <c r="H43" s="332">
        <v>0</v>
      </c>
      <c r="I43" s="332">
        <v>2</v>
      </c>
      <c r="J43" s="336">
        <f t="shared" si="3"/>
        <v>3000944.87</v>
      </c>
      <c r="K43" s="335">
        <v>209151.96</v>
      </c>
      <c r="L43" s="332">
        <v>0</v>
      </c>
      <c r="M43" s="335">
        <v>0</v>
      </c>
      <c r="N43" s="335">
        <v>429790.15</v>
      </c>
      <c r="O43" s="335">
        <v>50169.54</v>
      </c>
      <c r="P43" s="332">
        <v>0</v>
      </c>
      <c r="Q43" s="336">
        <f aca="true" t="shared" si="5" ref="Q43:Q52">SUM(K43:P43)</f>
        <v>689111.65</v>
      </c>
      <c r="R43" s="334">
        <f t="shared" si="4"/>
        <v>3690056.52</v>
      </c>
    </row>
    <row r="44" spans="1:18" ht="21.75">
      <c r="A44" s="11" t="s">
        <v>392</v>
      </c>
      <c r="B44" s="216" t="s">
        <v>236</v>
      </c>
      <c r="C44" s="332">
        <v>10006762.6</v>
      </c>
      <c r="D44" s="335">
        <v>0</v>
      </c>
      <c r="E44" s="335">
        <v>25121.6</v>
      </c>
      <c r="F44" s="335">
        <v>593129.8999999999</v>
      </c>
      <c r="G44" s="332">
        <v>1213587.9800000002</v>
      </c>
      <c r="H44" s="332">
        <v>0</v>
      </c>
      <c r="I44" s="332">
        <v>3</v>
      </c>
      <c r="J44" s="336">
        <f t="shared" si="3"/>
        <v>11838605.08</v>
      </c>
      <c r="K44" s="335">
        <v>626565.83</v>
      </c>
      <c r="L44" s="332">
        <v>0</v>
      </c>
      <c r="M44" s="335">
        <v>0</v>
      </c>
      <c r="N44" s="335">
        <v>798181.7</v>
      </c>
      <c r="O44" s="335">
        <v>93172.02</v>
      </c>
      <c r="P44" s="332">
        <v>0</v>
      </c>
      <c r="Q44" s="336">
        <f t="shared" si="5"/>
        <v>1517919.5499999998</v>
      </c>
      <c r="R44" s="334">
        <f t="shared" si="4"/>
        <v>13356524.629999999</v>
      </c>
    </row>
    <row r="45" spans="1:18" ht="21.75">
      <c r="A45" s="11" t="s">
        <v>108</v>
      </c>
      <c r="B45" s="216" t="s">
        <v>237</v>
      </c>
      <c r="C45" s="332">
        <v>3582674.8</v>
      </c>
      <c r="D45" s="335">
        <v>1675693.81</v>
      </c>
      <c r="E45" s="335">
        <v>6770</v>
      </c>
      <c r="F45" s="336">
        <v>366456</v>
      </c>
      <c r="G45" s="332">
        <v>5470</v>
      </c>
      <c r="H45" s="332">
        <v>0</v>
      </c>
      <c r="I45" s="334">
        <v>2</v>
      </c>
      <c r="J45" s="336">
        <f t="shared" si="3"/>
        <v>5637066.609999999</v>
      </c>
      <c r="K45" s="335">
        <v>313783.56</v>
      </c>
      <c r="L45" s="332">
        <v>0</v>
      </c>
      <c r="M45" s="335">
        <v>0</v>
      </c>
      <c r="N45" s="335">
        <v>675384.51</v>
      </c>
      <c r="O45" s="335">
        <v>78837.87</v>
      </c>
      <c r="P45" s="332">
        <v>0</v>
      </c>
      <c r="Q45" s="336">
        <f t="shared" si="5"/>
        <v>1068005.94</v>
      </c>
      <c r="R45" s="334">
        <f t="shared" si="4"/>
        <v>6705072.549999999</v>
      </c>
    </row>
    <row r="46" spans="1:18" ht="21.75">
      <c r="A46" s="11" t="s">
        <v>107</v>
      </c>
      <c r="B46" s="216" t="s">
        <v>238</v>
      </c>
      <c r="C46" s="332">
        <v>6636374.8100000005</v>
      </c>
      <c r="D46" s="335">
        <v>0</v>
      </c>
      <c r="E46" s="335">
        <v>0</v>
      </c>
      <c r="F46" s="336">
        <v>44581.990000000005</v>
      </c>
      <c r="G46" s="332">
        <v>0</v>
      </c>
      <c r="H46" s="332">
        <v>0</v>
      </c>
      <c r="I46" s="334">
        <v>2</v>
      </c>
      <c r="J46" s="336">
        <f t="shared" si="3"/>
        <v>6680958.800000001</v>
      </c>
      <c r="K46" s="335">
        <v>575140.07</v>
      </c>
      <c r="L46" s="332">
        <v>0</v>
      </c>
      <c r="M46" s="335">
        <v>0</v>
      </c>
      <c r="N46" s="335">
        <v>1166573.25</v>
      </c>
      <c r="O46" s="335">
        <v>136174.49000000005</v>
      </c>
      <c r="P46" s="332">
        <v>0</v>
      </c>
      <c r="Q46" s="336">
        <f t="shared" si="5"/>
        <v>1877887.8099999998</v>
      </c>
      <c r="R46" s="334">
        <f t="shared" si="4"/>
        <v>8558846.610000001</v>
      </c>
    </row>
    <row r="47" spans="1:18" ht="21.75">
      <c r="A47" s="11" t="s">
        <v>112</v>
      </c>
      <c r="B47" s="216" t="s">
        <v>239</v>
      </c>
      <c r="C47" s="332">
        <v>2801727.7800000003</v>
      </c>
      <c r="D47" s="335">
        <v>0</v>
      </c>
      <c r="E47" s="335">
        <v>0</v>
      </c>
      <c r="F47" s="336">
        <v>1364976.85</v>
      </c>
      <c r="G47" s="332">
        <v>61010.970000000016</v>
      </c>
      <c r="H47" s="332">
        <v>0</v>
      </c>
      <c r="I47" s="334">
        <v>1</v>
      </c>
      <c r="J47" s="336">
        <f t="shared" si="3"/>
        <v>4227716.600000001</v>
      </c>
      <c r="K47" s="335">
        <v>157169.92</v>
      </c>
      <c r="L47" s="332">
        <v>0</v>
      </c>
      <c r="M47" s="335">
        <v>0</v>
      </c>
      <c r="N47" s="335">
        <v>491188.74</v>
      </c>
      <c r="O47" s="335">
        <v>57336.63</v>
      </c>
      <c r="P47" s="332">
        <v>0</v>
      </c>
      <c r="Q47" s="336">
        <f t="shared" si="5"/>
        <v>705695.29</v>
      </c>
      <c r="R47" s="334">
        <f t="shared" si="4"/>
        <v>4933411.890000001</v>
      </c>
    </row>
    <row r="48" spans="1:18" ht="21.75">
      <c r="A48" s="11" t="s">
        <v>109</v>
      </c>
      <c r="B48" s="216" t="s">
        <v>240</v>
      </c>
      <c r="C48" s="332">
        <v>5010218.100000001</v>
      </c>
      <c r="D48" s="335">
        <v>0</v>
      </c>
      <c r="E48" s="335">
        <v>0</v>
      </c>
      <c r="F48" s="336">
        <v>294766.97</v>
      </c>
      <c r="G48" s="332">
        <v>0</v>
      </c>
      <c r="H48" s="332">
        <v>0</v>
      </c>
      <c r="I48" s="334">
        <v>2</v>
      </c>
      <c r="J48" s="336">
        <f t="shared" si="3"/>
        <v>5304987.07</v>
      </c>
      <c r="K48" s="335">
        <v>418192.66</v>
      </c>
      <c r="L48" s="332">
        <v>0</v>
      </c>
      <c r="M48" s="335">
        <v>0</v>
      </c>
      <c r="N48" s="335">
        <v>798181.7</v>
      </c>
      <c r="O48" s="335">
        <v>93172.02</v>
      </c>
      <c r="P48" s="332">
        <v>0</v>
      </c>
      <c r="Q48" s="336">
        <f t="shared" si="5"/>
        <v>1309546.38</v>
      </c>
      <c r="R48" s="334">
        <f t="shared" si="4"/>
        <v>6614533.45</v>
      </c>
    </row>
    <row r="49" spans="1:18" ht="21.75">
      <c r="A49" s="11" t="s">
        <v>111</v>
      </c>
      <c r="B49" s="216" t="s">
        <v>241</v>
      </c>
      <c r="C49" s="332">
        <v>2760810</v>
      </c>
      <c r="D49" s="335">
        <v>0</v>
      </c>
      <c r="E49" s="335">
        <v>12687.3</v>
      </c>
      <c r="F49" s="336">
        <v>1605</v>
      </c>
      <c r="G49" s="332">
        <v>0</v>
      </c>
      <c r="H49" s="332">
        <v>0</v>
      </c>
      <c r="I49" s="334">
        <v>3</v>
      </c>
      <c r="J49" s="336">
        <f t="shared" si="3"/>
        <v>2775105.3</v>
      </c>
      <c r="K49" s="335">
        <v>261133.99</v>
      </c>
      <c r="L49" s="332">
        <v>0</v>
      </c>
      <c r="M49" s="335">
        <v>0</v>
      </c>
      <c r="N49" s="335">
        <v>368391.55</v>
      </c>
      <c r="O49" s="335">
        <v>43002.48</v>
      </c>
      <c r="P49" s="332">
        <v>0</v>
      </c>
      <c r="Q49" s="336">
        <f t="shared" si="5"/>
        <v>672528.02</v>
      </c>
      <c r="R49" s="334">
        <f t="shared" si="4"/>
        <v>3447633.32</v>
      </c>
    </row>
    <row r="50" spans="1:18" ht="21.75">
      <c r="A50" s="11" t="s">
        <v>110</v>
      </c>
      <c r="B50" s="216" t="s">
        <v>242</v>
      </c>
      <c r="C50" s="332">
        <v>7144094.4799999995</v>
      </c>
      <c r="D50" s="335">
        <v>0</v>
      </c>
      <c r="E50" s="335">
        <v>0</v>
      </c>
      <c r="F50" s="335">
        <v>4571575.750000001</v>
      </c>
      <c r="G50" s="332">
        <v>391778.9</v>
      </c>
      <c r="H50" s="332">
        <v>0</v>
      </c>
      <c r="I50" s="332">
        <v>1</v>
      </c>
      <c r="J50" s="336">
        <f t="shared" si="3"/>
        <v>12107450.13</v>
      </c>
      <c r="K50" s="335">
        <v>732309.98</v>
      </c>
      <c r="L50" s="332">
        <v>0</v>
      </c>
      <c r="M50" s="335">
        <v>0</v>
      </c>
      <c r="N50" s="335">
        <v>1657761.99</v>
      </c>
      <c r="O50" s="335">
        <v>193511.12</v>
      </c>
      <c r="P50" s="332">
        <v>0</v>
      </c>
      <c r="Q50" s="336">
        <f t="shared" si="5"/>
        <v>2583583.09</v>
      </c>
      <c r="R50" s="334">
        <f t="shared" si="4"/>
        <v>14691033.22</v>
      </c>
    </row>
    <row r="51" spans="1:18" ht="21.75">
      <c r="A51" s="11" t="s">
        <v>391</v>
      </c>
      <c r="B51" s="11">
        <v>12</v>
      </c>
      <c r="C51" s="332">
        <v>9180924.94</v>
      </c>
      <c r="D51" s="335">
        <v>0</v>
      </c>
      <c r="E51" s="335">
        <v>0</v>
      </c>
      <c r="F51" s="335">
        <v>14674783.940000001</v>
      </c>
      <c r="G51" s="332">
        <v>12992548.469999997</v>
      </c>
      <c r="H51" s="332">
        <v>0</v>
      </c>
      <c r="I51" s="334">
        <v>36</v>
      </c>
      <c r="J51" s="336">
        <f t="shared" si="3"/>
        <v>36848293.35</v>
      </c>
      <c r="K51" s="335">
        <v>783735.74</v>
      </c>
      <c r="L51" s="332">
        <v>0</v>
      </c>
      <c r="M51" s="335">
        <v>0</v>
      </c>
      <c r="N51" s="335">
        <v>1289370.44</v>
      </c>
      <c r="O51" s="335">
        <v>150508.65</v>
      </c>
      <c r="P51" s="332">
        <v>0</v>
      </c>
      <c r="Q51" s="336">
        <f t="shared" si="5"/>
        <v>2223614.83</v>
      </c>
      <c r="R51" s="334">
        <f t="shared" si="4"/>
        <v>39071908.18</v>
      </c>
    </row>
    <row r="52" spans="1:18" ht="21.75">
      <c r="A52" s="11" t="s">
        <v>384</v>
      </c>
      <c r="B52" s="11">
        <v>15</v>
      </c>
      <c r="C52" s="332">
        <v>11023517.459999999</v>
      </c>
      <c r="D52" s="336">
        <v>5719280.3</v>
      </c>
      <c r="E52" s="336">
        <v>169339.32</v>
      </c>
      <c r="F52" s="336">
        <v>11882835.25</v>
      </c>
      <c r="G52" s="334">
        <v>15282.990000000002</v>
      </c>
      <c r="H52" s="332">
        <v>0</v>
      </c>
      <c r="I52" s="334">
        <v>7</v>
      </c>
      <c r="J52" s="336">
        <f t="shared" si="3"/>
        <v>28810262.319999997</v>
      </c>
      <c r="K52" s="335">
        <v>836051.55</v>
      </c>
      <c r="L52" s="332">
        <v>0</v>
      </c>
      <c r="M52" s="335">
        <v>0</v>
      </c>
      <c r="N52" s="335">
        <v>1412167.63</v>
      </c>
      <c r="O52" s="335">
        <v>164842.8</v>
      </c>
      <c r="P52" s="332">
        <v>0</v>
      </c>
      <c r="Q52" s="336">
        <f t="shared" si="5"/>
        <v>2413061.9799999995</v>
      </c>
      <c r="R52" s="334">
        <f t="shared" si="4"/>
        <v>31223324.299999997</v>
      </c>
    </row>
    <row r="53" spans="1:18" s="174" customFormat="1" ht="22.5" thickBot="1">
      <c r="A53" s="170" t="s">
        <v>27</v>
      </c>
      <c r="B53" s="170"/>
      <c r="C53" s="339">
        <f aca="true" t="shared" si="6" ref="C53:I53">SUM(C5:C52)</f>
        <v>289764032.51</v>
      </c>
      <c r="D53" s="339">
        <f t="shared" si="6"/>
        <v>26804369.88</v>
      </c>
      <c r="E53" s="339">
        <f t="shared" si="6"/>
        <v>52958649</v>
      </c>
      <c r="F53" s="339">
        <f t="shared" si="6"/>
        <v>316171757.99</v>
      </c>
      <c r="G53" s="339">
        <f t="shared" si="6"/>
        <v>24493301.489999995</v>
      </c>
      <c r="H53" s="339">
        <f t="shared" si="6"/>
        <v>8937392.781863397</v>
      </c>
      <c r="I53" s="339">
        <f t="shared" si="6"/>
        <v>148</v>
      </c>
      <c r="J53" s="339">
        <f aca="true" t="shared" si="7" ref="J53:Q53">SUM(J5:J52)</f>
        <v>719129651.6518637</v>
      </c>
      <c r="K53" s="339">
        <f t="shared" si="7"/>
        <v>14678378.380000005</v>
      </c>
      <c r="L53" s="339">
        <f t="shared" si="7"/>
        <v>0</v>
      </c>
      <c r="M53" s="339">
        <f t="shared" si="7"/>
        <v>0</v>
      </c>
      <c r="N53" s="339">
        <f t="shared" si="7"/>
        <v>21858240.25</v>
      </c>
      <c r="O53" s="339">
        <f t="shared" si="7"/>
        <v>2587315.31</v>
      </c>
      <c r="P53" s="339">
        <f t="shared" si="7"/>
        <v>0</v>
      </c>
      <c r="Q53" s="339">
        <f t="shared" si="7"/>
        <v>39123933.93999999</v>
      </c>
      <c r="R53" s="339">
        <f>SUM(R5:R52)</f>
        <v>758253585.5918633</v>
      </c>
    </row>
    <row r="54" spans="1:3" s="219" customFormat="1" ht="22.5" thickTop="1">
      <c r="A54" s="584"/>
      <c r="B54" s="584"/>
      <c r="C54" s="584"/>
    </row>
    <row r="55" spans="3:18" ht="21.75"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587"/>
    </row>
    <row r="56" spans="3:18" ht="21.75">
      <c r="C56" s="356"/>
      <c r="D56" s="356"/>
      <c r="E56" s="356"/>
      <c r="F56" s="356"/>
      <c r="G56" s="356"/>
      <c r="H56" s="356"/>
      <c r="I56" s="356"/>
      <c r="R56" s="219"/>
    </row>
    <row r="57" spans="3:9" ht="21.75">
      <c r="C57" s="356"/>
      <c r="D57" s="356"/>
      <c r="E57" s="356"/>
      <c r="F57" s="356"/>
      <c r="G57" s="356"/>
      <c r="H57" s="356"/>
      <c r="I57" s="356"/>
    </row>
    <row r="58" spans="3:9" ht="21.75">
      <c r="C58" s="356"/>
      <c r="D58" s="356"/>
      <c r="E58" s="356"/>
      <c r="F58" s="356"/>
      <c r="G58" s="356"/>
      <c r="H58" s="356"/>
      <c r="I58" s="356"/>
    </row>
  </sheetData>
  <sheetProtection/>
  <mergeCells count="4">
    <mergeCell ref="R3:R4"/>
    <mergeCell ref="A3:A4"/>
    <mergeCell ref="K3:Q3"/>
    <mergeCell ref="C3:J3"/>
  </mergeCells>
  <printOptions horizontalCentered="1"/>
  <pageMargins left="0.1" right="0" top="0.393700787401575" bottom="0.393700787401575" header="0.511811023622047" footer="0.511811023622047"/>
  <pageSetup orientation="landscape" paperSize="5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00390625" style="27" customWidth="1"/>
    <col min="2" max="2" width="7.421875" style="27" customWidth="1"/>
    <col min="3" max="15" width="9.140625" style="27" customWidth="1"/>
    <col min="16" max="16384" width="9.140625" style="27" customWidth="1"/>
  </cols>
  <sheetData>
    <row r="1" spans="1:2" ht="24">
      <c r="A1" s="84" t="s">
        <v>53</v>
      </c>
      <c r="B1" s="27" t="s">
        <v>54</v>
      </c>
    </row>
    <row r="3" spans="1:16" ht="106.5" customHeight="1">
      <c r="A3" s="733" t="s">
        <v>446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605"/>
    </row>
    <row r="4" spans="1:16" ht="117" customHeight="1" hidden="1">
      <c r="A4" s="733" t="s">
        <v>387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605"/>
    </row>
    <row r="5" spans="1:16" ht="71.25" customHeight="1" hidden="1">
      <c r="A5" s="733" t="s">
        <v>388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605"/>
    </row>
    <row r="6" spans="1:16" ht="17.25" customHeight="1" hidden="1">
      <c r="A6" s="733" t="s">
        <v>386</v>
      </c>
      <c r="B6" s="733"/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605"/>
    </row>
    <row r="12" spans="1:3" ht="24" hidden="1">
      <c r="A12" s="84" t="s">
        <v>20</v>
      </c>
      <c r="C12" s="27" t="s">
        <v>213</v>
      </c>
    </row>
    <row r="13" ht="24" hidden="1">
      <c r="A13" s="27" t="s">
        <v>222</v>
      </c>
    </row>
    <row r="14" ht="24" hidden="1">
      <c r="A14" s="27" t="s">
        <v>221</v>
      </c>
    </row>
    <row r="17" spans="1:15" ht="24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24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24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4">
    <mergeCell ref="A5:O5"/>
    <mergeCell ref="A6:O6"/>
    <mergeCell ref="A3:O3"/>
    <mergeCell ref="A4:O4"/>
  </mergeCells>
  <printOptions horizontalCentered="1"/>
  <pageMargins left="0.69" right="0.16" top="0.69" bottom="0.16" header="0.511811023622047" footer="0.511811023622047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pane xSplit="2" ySplit="6" topLeftCell="U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1" sqref="Z1:AN16384"/>
    </sheetView>
  </sheetViews>
  <sheetFormatPr defaultColWidth="9.140625" defaultRowHeight="12.75"/>
  <cols>
    <col min="1" max="1" width="11.421875" style="110" customWidth="1"/>
    <col min="2" max="2" width="35.421875" style="110" bestFit="1" customWidth="1"/>
    <col min="3" max="3" width="13.421875" style="110" bestFit="1" customWidth="1"/>
    <col min="4" max="4" width="12.140625" style="110" bestFit="1" customWidth="1"/>
    <col min="5" max="5" width="11.140625" style="110" bestFit="1" customWidth="1"/>
    <col min="6" max="6" width="8.140625" style="110" bestFit="1" customWidth="1"/>
    <col min="7" max="7" width="13.28125" style="110" bestFit="1" customWidth="1"/>
    <col min="8" max="8" width="13.140625" style="110" bestFit="1" customWidth="1"/>
    <col min="9" max="12" width="15.421875" style="110" customWidth="1"/>
    <col min="13" max="14" width="18.00390625" style="110" bestFit="1" customWidth="1"/>
    <col min="15" max="15" width="11.28125" style="110" bestFit="1" customWidth="1"/>
    <col min="16" max="16" width="9.421875" style="110" bestFit="1" customWidth="1"/>
    <col min="17" max="17" width="19.140625" style="110" customWidth="1"/>
    <col min="18" max="18" width="19.421875" style="110" bestFit="1" customWidth="1"/>
    <col min="19" max="19" width="14.7109375" style="110" customWidth="1"/>
    <col min="20" max="20" width="16.28125" style="110" customWidth="1"/>
    <col min="21" max="21" width="19.421875" style="109" customWidth="1"/>
    <col min="22" max="22" width="19.28125" style="109" customWidth="1"/>
    <col min="23" max="23" width="10.421875" style="681" customWidth="1"/>
    <col min="24" max="24" width="10.140625" style="681" customWidth="1"/>
    <col min="25" max="25" width="9.28125" style="681" customWidth="1"/>
    <col min="26" max="16384" width="9.140625" style="109" customWidth="1"/>
  </cols>
  <sheetData>
    <row r="1" spans="1:25" s="210" customFormat="1" ht="18.75">
      <c r="A1" s="746" t="s">
        <v>397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</row>
    <row r="2" spans="1:20" ht="18.75">
      <c r="A2" s="108" t="s">
        <v>77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4:25" ht="19.5" customHeight="1">
      <c r="X3" s="682" t="s">
        <v>17</v>
      </c>
      <c r="Y3" s="682"/>
    </row>
    <row r="4" spans="1:25" ht="21.75" customHeight="1">
      <c r="A4" s="739" t="s">
        <v>31</v>
      </c>
      <c r="B4" s="740"/>
      <c r="C4" s="745" t="s">
        <v>381</v>
      </c>
      <c r="D4" s="745"/>
      <c r="E4" s="745"/>
      <c r="F4" s="745"/>
      <c r="G4" s="745"/>
      <c r="H4" s="745"/>
      <c r="I4" s="745"/>
      <c r="J4" s="745"/>
      <c r="K4" s="745"/>
      <c r="L4" s="745"/>
      <c r="M4" s="745" t="s">
        <v>398</v>
      </c>
      <c r="N4" s="745"/>
      <c r="O4" s="745"/>
      <c r="P4" s="745"/>
      <c r="Q4" s="745"/>
      <c r="R4" s="745"/>
      <c r="S4" s="745"/>
      <c r="T4" s="745"/>
      <c r="U4" s="745"/>
      <c r="V4" s="745"/>
      <c r="W4" s="747" t="s">
        <v>57</v>
      </c>
      <c r="X4" s="747" t="s">
        <v>58</v>
      </c>
      <c r="Y4" s="749" t="s">
        <v>43</v>
      </c>
    </row>
    <row r="5" spans="1:25" ht="21.75" customHeight="1">
      <c r="A5" s="741"/>
      <c r="B5" s="742"/>
      <c r="C5" s="736" t="s">
        <v>55</v>
      </c>
      <c r="D5" s="737"/>
      <c r="E5" s="737"/>
      <c r="F5" s="737"/>
      <c r="G5" s="738"/>
      <c r="H5" s="745" t="s">
        <v>56</v>
      </c>
      <c r="I5" s="745"/>
      <c r="J5" s="745"/>
      <c r="K5" s="745"/>
      <c r="L5" s="734" t="s">
        <v>11</v>
      </c>
      <c r="M5" s="736" t="s">
        <v>55</v>
      </c>
      <c r="N5" s="737"/>
      <c r="O5" s="737"/>
      <c r="P5" s="737"/>
      <c r="Q5" s="738"/>
      <c r="R5" s="745" t="s">
        <v>56</v>
      </c>
      <c r="S5" s="745"/>
      <c r="T5" s="745"/>
      <c r="U5" s="745"/>
      <c r="V5" s="734" t="s">
        <v>11</v>
      </c>
      <c r="W5" s="748"/>
      <c r="X5" s="748"/>
      <c r="Y5" s="748"/>
    </row>
    <row r="6" spans="1:25" ht="91.5" customHeight="1">
      <c r="A6" s="743"/>
      <c r="B6" s="744"/>
      <c r="C6" s="93" t="s">
        <v>34</v>
      </c>
      <c r="D6" s="93" t="s">
        <v>37</v>
      </c>
      <c r="E6" s="93" t="s">
        <v>294</v>
      </c>
      <c r="F6" s="93" t="s">
        <v>39</v>
      </c>
      <c r="G6" s="93" t="s">
        <v>18</v>
      </c>
      <c r="H6" s="93" t="s">
        <v>35</v>
      </c>
      <c r="I6" s="93" t="s">
        <v>38</v>
      </c>
      <c r="J6" s="93" t="s">
        <v>36</v>
      </c>
      <c r="K6" s="93" t="s">
        <v>18</v>
      </c>
      <c r="L6" s="735"/>
      <c r="M6" s="93" t="s">
        <v>34</v>
      </c>
      <c r="N6" s="93" t="s">
        <v>37</v>
      </c>
      <c r="O6" s="93" t="s">
        <v>294</v>
      </c>
      <c r="P6" s="93" t="s">
        <v>39</v>
      </c>
      <c r="Q6" s="93" t="s">
        <v>18</v>
      </c>
      <c r="R6" s="93" t="s">
        <v>35</v>
      </c>
      <c r="S6" s="93" t="s">
        <v>38</v>
      </c>
      <c r="T6" s="93" t="s">
        <v>36</v>
      </c>
      <c r="U6" s="93" t="s">
        <v>18</v>
      </c>
      <c r="V6" s="735"/>
      <c r="W6" s="748"/>
      <c r="X6" s="748"/>
      <c r="Y6" s="748"/>
    </row>
    <row r="7" spans="1:25" ht="18.75">
      <c r="A7" s="94" t="s">
        <v>32</v>
      </c>
      <c r="B7" s="94"/>
      <c r="C7" s="95"/>
      <c r="D7" s="95"/>
      <c r="E7" s="95"/>
      <c r="F7" s="95"/>
      <c r="G7" s="95"/>
      <c r="H7" s="102"/>
      <c r="I7" s="95"/>
      <c r="J7" s="95"/>
      <c r="K7" s="111"/>
      <c r="L7" s="111"/>
      <c r="M7" s="95"/>
      <c r="N7" s="95"/>
      <c r="O7" s="95"/>
      <c r="P7" s="95"/>
      <c r="Q7" s="95"/>
      <c r="R7" s="102"/>
      <c r="S7" s="95"/>
      <c r="T7" s="95"/>
      <c r="U7" s="111"/>
      <c r="V7" s="111"/>
      <c r="W7" s="683"/>
      <c r="X7" s="683"/>
      <c r="Y7" s="683"/>
    </row>
    <row r="8" spans="1:25" ht="21.75">
      <c r="A8" s="198" t="s">
        <v>138</v>
      </c>
      <c r="B8" s="310" t="s">
        <v>115</v>
      </c>
      <c r="C8" s="321">
        <v>5147220.17</v>
      </c>
      <c r="D8" s="321">
        <v>0</v>
      </c>
      <c r="E8" s="321">
        <v>0</v>
      </c>
      <c r="F8" s="321">
        <v>0</v>
      </c>
      <c r="G8" s="324">
        <f>SUM(C8:F8)</f>
        <v>5147220.17</v>
      </c>
      <c r="H8" s="321">
        <v>3009383.3000000003</v>
      </c>
      <c r="I8" s="321">
        <v>0</v>
      </c>
      <c r="J8" s="321">
        <v>3054060.4499999997</v>
      </c>
      <c r="K8" s="323">
        <f aca="true" t="shared" si="0" ref="K8:K40">SUM(H8:J8)</f>
        <v>6063443.75</v>
      </c>
      <c r="L8" s="323">
        <f aca="true" t="shared" si="1" ref="L8:L40">SUM(G8+K8)</f>
        <v>11210663.92</v>
      </c>
      <c r="M8" s="321">
        <v>6055488.709999999</v>
      </c>
      <c r="N8" s="321">
        <v>698.37</v>
      </c>
      <c r="O8" s="321">
        <v>0</v>
      </c>
      <c r="P8" s="321">
        <v>3</v>
      </c>
      <c r="Q8" s="324">
        <f>SUM(M8:P8)</f>
        <v>6056190.079999999</v>
      </c>
      <c r="R8" s="321">
        <v>2752187.04</v>
      </c>
      <c r="S8" s="321">
        <v>232000</v>
      </c>
      <c r="T8" s="321">
        <v>2708811.11</v>
      </c>
      <c r="U8" s="323">
        <f>SUM(R8:T8)</f>
        <v>5692998.15</v>
      </c>
      <c r="V8" s="323">
        <f aca="true" t="shared" si="2" ref="V8:V42">SUM(Q8+U8)</f>
        <v>11749188.23</v>
      </c>
      <c r="W8" s="684">
        <f>(Q8-G8)*100/G8</f>
        <v>17.659433247053027</v>
      </c>
      <c r="X8" s="684">
        <f>(U8-K8)*100/K8</f>
        <v>-6.1094918213762535</v>
      </c>
      <c r="Y8" s="684">
        <f>(V8-L8)*100/L8</f>
        <v>4.803679013508422</v>
      </c>
    </row>
    <row r="9" spans="1:25" s="202" customFormat="1" ht="21.75">
      <c r="A9" s="198" t="s">
        <v>139</v>
      </c>
      <c r="B9" s="310" t="s">
        <v>116</v>
      </c>
      <c r="C9" s="321">
        <v>5462849.4399999995</v>
      </c>
      <c r="D9" s="321">
        <v>171994.11999999997</v>
      </c>
      <c r="E9" s="321">
        <v>0</v>
      </c>
      <c r="F9" s="321">
        <v>0</v>
      </c>
      <c r="G9" s="324">
        <f aca="true" t="shared" si="3" ref="G9:G54">SUM(C9:F9)</f>
        <v>5634843.56</v>
      </c>
      <c r="H9" s="321">
        <v>10172255.32</v>
      </c>
      <c r="I9" s="321">
        <v>330780</v>
      </c>
      <c r="J9" s="321">
        <v>5600997.039999999</v>
      </c>
      <c r="K9" s="323">
        <f t="shared" si="0"/>
        <v>16104032.36</v>
      </c>
      <c r="L9" s="323">
        <f t="shared" si="1"/>
        <v>21738875.919999998</v>
      </c>
      <c r="M9" s="321">
        <v>3993017.99</v>
      </c>
      <c r="N9" s="321">
        <v>157108.82999999996</v>
      </c>
      <c r="O9" s="321">
        <v>0</v>
      </c>
      <c r="P9" s="321">
        <v>0</v>
      </c>
      <c r="Q9" s="324">
        <f aca="true" t="shared" si="4" ref="Q9:Q54">SUM(M9:P9)</f>
        <v>4150126.8200000003</v>
      </c>
      <c r="R9" s="321">
        <v>14453862.84</v>
      </c>
      <c r="S9" s="321">
        <v>154840</v>
      </c>
      <c r="T9" s="321">
        <v>5244443.57</v>
      </c>
      <c r="U9" s="323">
        <f aca="true" t="shared" si="5" ref="U9:U54">SUM(R9:T9)</f>
        <v>19853146.41</v>
      </c>
      <c r="V9" s="323">
        <f t="shared" si="2"/>
        <v>24003273.23</v>
      </c>
      <c r="W9" s="684">
        <f aca="true" t="shared" si="6" ref="W9:W40">(Q9-G9)*100/G9</f>
        <v>-26.34885466101564</v>
      </c>
      <c r="X9" s="684">
        <f aca="true" t="shared" si="7" ref="X9:X40">(U9-K9)*100/K9</f>
        <v>23.2805918802811</v>
      </c>
      <c r="Y9" s="684">
        <f aca="true" t="shared" si="8" ref="Y9:Y40">(V9-L9)*100/L9</f>
        <v>10.416349577287631</v>
      </c>
    </row>
    <row r="10" spans="1:25" s="202" customFormat="1" ht="21.75">
      <c r="A10" s="198" t="s">
        <v>140</v>
      </c>
      <c r="B10" s="132" t="s">
        <v>103</v>
      </c>
      <c r="C10" s="326">
        <v>8785530.919999998</v>
      </c>
      <c r="D10" s="326">
        <v>81548.87999999999</v>
      </c>
      <c r="E10" s="326">
        <v>0</v>
      </c>
      <c r="F10" s="326">
        <v>1</v>
      </c>
      <c r="G10" s="324">
        <f t="shared" si="3"/>
        <v>8867080.799999999</v>
      </c>
      <c r="H10" s="326">
        <v>134065586.44999997</v>
      </c>
      <c r="I10" s="326">
        <v>142464.68</v>
      </c>
      <c r="J10" s="326">
        <v>31723.6</v>
      </c>
      <c r="K10" s="322">
        <f t="shared" si="0"/>
        <v>134239774.73</v>
      </c>
      <c r="L10" s="322">
        <f t="shared" si="1"/>
        <v>143106855.53</v>
      </c>
      <c r="M10" s="326">
        <v>8256701.32</v>
      </c>
      <c r="N10" s="326">
        <v>117899.24999999999</v>
      </c>
      <c r="O10" s="326">
        <v>0</v>
      </c>
      <c r="P10" s="326">
        <v>6</v>
      </c>
      <c r="Q10" s="324">
        <f t="shared" si="4"/>
        <v>8374606.57</v>
      </c>
      <c r="R10" s="326">
        <v>93296393.55999999</v>
      </c>
      <c r="S10" s="326">
        <v>151265.58</v>
      </c>
      <c r="T10" s="326">
        <v>86602.91</v>
      </c>
      <c r="U10" s="323">
        <f t="shared" si="5"/>
        <v>93534262.04999998</v>
      </c>
      <c r="V10" s="322">
        <f t="shared" si="2"/>
        <v>101908868.61999997</v>
      </c>
      <c r="W10" s="684">
        <f t="shared" si="6"/>
        <v>-5.553961231525021</v>
      </c>
      <c r="X10" s="684">
        <f t="shared" si="7"/>
        <v>-30.322989413437323</v>
      </c>
      <c r="Y10" s="684">
        <f t="shared" si="8"/>
        <v>-28.78826926734027</v>
      </c>
    </row>
    <row r="11" spans="1:25" ht="21.75">
      <c r="A11" s="198" t="s">
        <v>141</v>
      </c>
      <c r="B11" s="132" t="s">
        <v>136</v>
      </c>
      <c r="C11" s="325">
        <v>5959087.58</v>
      </c>
      <c r="D11" s="325">
        <v>3096181.79</v>
      </c>
      <c r="E11" s="325">
        <v>0</v>
      </c>
      <c r="F11" s="325">
        <v>0</v>
      </c>
      <c r="G11" s="324">
        <f t="shared" si="3"/>
        <v>9055269.370000001</v>
      </c>
      <c r="H11" s="168">
        <v>37821364.98</v>
      </c>
      <c r="I11" s="328">
        <v>999472</v>
      </c>
      <c r="J11" s="168">
        <v>0</v>
      </c>
      <c r="K11" s="322">
        <f t="shared" si="0"/>
        <v>38820836.98</v>
      </c>
      <c r="L11" s="322">
        <f t="shared" si="1"/>
        <v>47876106.349999994</v>
      </c>
      <c r="M11" s="325">
        <v>6817683.989999998</v>
      </c>
      <c r="N11" s="325">
        <v>4731042.96</v>
      </c>
      <c r="O11" s="325">
        <v>0</v>
      </c>
      <c r="P11" s="325">
        <v>25</v>
      </c>
      <c r="Q11" s="324">
        <f t="shared" si="4"/>
        <v>11548751.95</v>
      </c>
      <c r="R11" s="168">
        <v>38427957.14999999</v>
      </c>
      <c r="S11" s="328">
        <v>289940</v>
      </c>
      <c r="T11" s="168">
        <v>0</v>
      </c>
      <c r="U11" s="323">
        <f t="shared" si="5"/>
        <v>38717897.14999999</v>
      </c>
      <c r="V11" s="322">
        <f t="shared" si="2"/>
        <v>50266649.099999994</v>
      </c>
      <c r="W11" s="684">
        <f t="shared" si="6"/>
        <v>27.536260691049968</v>
      </c>
      <c r="X11" s="684">
        <f t="shared" si="7"/>
        <v>-0.2651664363986767</v>
      </c>
      <c r="Y11" s="684">
        <f t="shared" si="8"/>
        <v>4.99318539507756</v>
      </c>
    </row>
    <row r="12" spans="1:25" ht="21.75">
      <c r="A12" s="198" t="s">
        <v>142</v>
      </c>
      <c r="B12" s="132" t="s">
        <v>372</v>
      </c>
      <c r="C12" s="326">
        <v>6205297.76</v>
      </c>
      <c r="D12" s="326">
        <v>25607.499999999996</v>
      </c>
      <c r="E12" s="326">
        <v>0</v>
      </c>
      <c r="F12" s="326">
        <v>4</v>
      </c>
      <c r="G12" s="324">
        <f t="shared" si="3"/>
        <v>6230909.26</v>
      </c>
      <c r="H12" s="326">
        <v>9769940.430000002</v>
      </c>
      <c r="I12" s="326">
        <v>1221871</v>
      </c>
      <c r="J12" s="326">
        <v>19968629.44</v>
      </c>
      <c r="K12" s="322">
        <f t="shared" si="0"/>
        <v>30960440.870000005</v>
      </c>
      <c r="L12" s="322">
        <f t="shared" si="1"/>
        <v>37191350.13</v>
      </c>
      <c r="M12" s="326">
        <v>6627999.399999999</v>
      </c>
      <c r="N12" s="326">
        <v>26225.28</v>
      </c>
      <c r="O12" s="326">
        <v>0</v>
      </c>
      <c r="P12" s="326">
        <v>2</v>
      </c>
      <c r="Q12" s="324">
        <f t="shared" si="4"/>
        <v>6654226.68</v>
      </c>
      <c r="R12" s="326">
        <v>14918049.759999998</v>
      </c>
      <c r="S12" s="326">
        <v>5062421.1</v>
      </c>
      <c r="T12" s="326">
        <v>14013817.140000002</v>
      </c>
      <c r="U12" s="323">
        <f t="shared" si="5"/>
        <v>33994288</v>
      </c>
      <c r="V12" s="322">
        <f t="shared" si="2"/>
        <v>40648514.68</v>
      </c>
      <c r="W12" s="684">
        <f t="shared" si="6"/>
        <v>6.793830600575942</v>
      </c>
      <c r="X12" s="684">
        <f t="shared" si="7"/>
        <v>9.799108296741753</v>
      </c>
      <c r="Y12" s="684">
        <f t="shared" si="8"/>
        <v>9.295614539175636</v>
      </c>
    </row>
    <row r="13" spans="1:25" ht="21.75">
      <c r="A13" s="198" t="s">
        <v>143</v>
      </c>
      <c r="B13" s="132" t="s">
        <v>373</v>
      </c>
      <c r="C13" s="326">
        <v>5957377.609999999</v>
      </c>
      <c r="D13" s="326">
        <v>1911.6300000000003</v>
      </c>
      <c r="E13" s="326">
        <v>0</v>
      </c>
      <c r="F13" s="326">
        <v>1</v>
      </c>
      <c r="G13" s="324">
        <f t="shared" si="3"/>
        <v>5959290.239999999</v>
      </c>
      <c r="H13" s="326">
        <v>51682</v>
      </c>
      <c r="I13" s="326">
        <v>508854.96</v>
      </c>
      <c r="J13" s="326">
        <v>652885.5800000001</v>
      </c>
      <c r="K13" s="322">
        <f t="shared" si="0"/>
        <v>1213422.54</v>
      </c>
      <c r="L13" s="322">
        <f t="shared" si="1"/>
        <v>7172712.779999999</v>
      </c>
      <c r="M13" s="326">
        <v>6052372.4399999995</v>
      </c>
      <c r="N13" s="326">
        <v>2369.9700000000003</v>
      </c>
      <c r="O13" s="326">
        <v>0</v>
      </c>
      <c r="P13" s="326">
        <v>2</v>
      </c>
      <c r="Q13" s="324">
        <f t="shared" si="4"/>
        <v>6054744.409999999</v>
      </c>
      <c r="R13" s="326">
        <v>39263</v>
      </c>
      <c r="S13" s="326">
        <v>389586.33</v>
      </c>
      <c r="T13" s="326">
        <v>975127.03</v>
      </c>
      <c r="U13" s="323">
        <f t="shared" si="5"/>
        <v>1403976.36</v>
      </c>
      <c r="V13" s="322">
        <f t="shared" si="2"/>
        <v>7458720.77</v>
      </c>
      <c r="W13" s="684">
        <f t="shared" si="6"/>
        <v>1.6017707840321591</v>
      </c>
      <c r="X13" s="684">
        <f t="shared" si="7"/>
        <v>15.703830588147808</v>
      </c>
      <c r="Y13" s="684">
        <f t="shared" si="8"/>
        <v>3.987445179702292</v>
      </c>
    </row>
    <row r="14" spans="1:25" s="202" customFormat="1" ht="21.75">
      <c r="A14" s="198" t="s">
        <v>144</v>
      </c>
      <c r="B14" s="132" t="s">
        <v>374</v>
      </c>
      <c r="C14" s="326">
        <v>3739204.5599999996</v>
      </c>
      <c r="D14" s="326">
        <v>1058.55</v>
      </c>
      <c r="E14" s="326">
        <v>0</v>
      </c>
      <c r="F14" s="326">
        <v>1</v>
      </c>
      <c r="G14" s="324">
        <f t="shared" si="3"/>
        <v>3740264.1099999994</v>
      </c>
      <c r="H14" s="326">
        <v>12992444.18</v>
      </c>
      <c r="I14" s="326">
        <v>1557759.85</v>
      </c>
      <c r="J14" s="326">
        <v>4480381.59</v>
      </c>
      <c r="K14" s="322">
        <f t="shared" si="0"/>
        <v>19030585.619999997</v>
      </c>
      <c r="L14" s="322">
        <f t="shared" si="1"/>
        <v>22770849.729999997</v>
      </c>
      <c r="M14" s="326">
        <v>3629890.1</v>
      </c>
      <c r="N14" s="326">
        <v>1058.54</v>
      </c>
      <c r="O14" s="326">
        <v>0</v>
      </c>
      <c r="P14" s="326">
        <v>3</v>
      </c>
      <c r="Q14" s="324">
        <f t="shared" si="4"/>
        <v>3630951.64</v>
      </c>
      <c r="R14" s="326">
        <v>11526106.78</v>
      </c>
      <c r="S14" s="326">
        <v>414964</v>
      </c>
      <c r="T14" s="326">
        <v>3922208.75</v>
      </c>
      <c r="U14" s="323">
        <f t="shared" si="5"/>
        <v>15863279.53</v>
      </c>
      <c r="V14" s="322">
        <f t="shared" si="2"/>
        <v>19494231.169999998</v>
      </c>
      <c r="W14" s="684">
        <f t="shared" si="6"/>
        <v>-2.9225869292957305</v>
      </c>
      <c r="X14" s="684">
        <f t="shared" si="7"/>
        <v>-16.643240272497714</v>
      </c>
      <c r="Y14" s="684">
        <f t="shared" si="8"/>
        <v>-14.389531347541853</v>
      </c>
    </row>
    <row r="15" spans="1:25" s="202" customFormat="1" ht="21.75">
      <c r="A15" s="198" t="s">
        <v>145</v>
      </c>
      <c r="B15" s="132" t="s">
        <v>367</v>
      </c>
      <c r="C15" s="326">
        <v>7585410.42</v>
      </c>
      <c r="D15" s="326">
        <v>0</v>
      </c>
      <c r="E15" s="326">
        <v>0</v>
      </c>
      <c r="F15" s="327">
        <v>0</v>
      </c>
      <c r="G15" s="324">
        <f t="shared" si="3"/>
        <v>7585410.42</v>
      </c>
      <c r="H15" s="326">
        <v>13493.910000000002</v>
      </c>
      <c r="I15" s="326">
        <v>0</v>
      </c>
      <c r="J15" s="326">
        <v>0</v>
      </c>
      <c r="K15" s="322">
        <f t="shared" si="0"/>
        <v>13493.910000000002</v>
      </c>
      <c r="L15" s="322">
        <f>SUM(G15+K15)</f>
        <v>7598904.33</v>
      </c>
      <c r="M15" s="326">
        <v>6374450.709999999</v>
      </c>
      <c r="N15" s="326">
        <v>0</v>
      </c>
      <c r="O15" s="326">
        <v>0</v>
      </c>
      <c r="P15" s="327">
        <v>3</v>
      </c>
      <c r="Q15" s="324">
        <f t="shared" si="4"/>
        <v>6374453.709999999</v>
      </c>
      <c r="R15" s="326">
        <v>12271.119999999999</v>
      </c>
      <c r="S15" s="326">
        <v>0</v>
      </c>
      <c r="T15" s="326">
        <v>0</v>
      </c>
      <c r="U15" s="323">
        <f t="shared" si="5"/>
        <v>12271.119999999999</v>
      </c>
      <c r="V15" s="322">
        <f t="shared" si="2"/>
        <v>6386724.829999999</v>
      </c>
      <c r="W15" s="684">
        <f t="shared" si="6"/>
        <v>-15.964287269244435</v>
      </c>
      <c r="X15" s="684">
        <f t="shared" si="7"/>
        <v>-9.06179157857139</v>
      </c>
      <c r="Y15" s="684">
        <f t="shared" si="8"/>
        <v>-15.952030021149126</v>
      </c>
    </row>
    <row r="16" spans="1:25" ht="21.75">
      <c r="A16" s="198" t="s">
        <v>146</v>
      </c>
      <c r="B16" s="132" t="s">
        <v>368</v>
      </c>
      <c r="C16" s="326">
        <v>10118848.389999999</v>
      </c>
      <c r="D16" s="326">
        <v>2058.01</v>
      </c>
      <c r="E16" s="326">
        <v>0</v>
      </c>
      <c r="F16" s="327">
        <v>1</v>
      </c>
      <c r="G16" s="324">
        <f t="shared" si="3"/>
        <v>10120907.399999999</v>
      </c>
      <c r="H16" s="326">
        <v>21606.48</v>
      </c>
      <c r="I16" s="326">
        <v>0</v>
      </c>
      <c r="J16" s="326">
        <v>0</v>
      </c>
      <c r="K16" s="322">
        <f t="shared" si="0"/>
        <v>21606.48</v>
      </c>
      <c r="L16" s="322">
        <f t="shared" si="1"/>
        <v>10142513.879999999</v>
      </c>
      <c r="M16" s="326">
        <v>9424207.000000002</v>
      </c>
      <c r="N16" s="326">
        <v>2058.01</v>
      </c>
      <c r="O16" s="326">
        <v>0</v>
      </c>
      <c r="P16" s="327">
        <v>7</v>
      </c>
      <c r="Q16" s="324">
        <f t="shared" si="4"/>
        <v>9426272.010000002</v>
      </c>
      <c r="R16" s="326">
        <v>15666.05</v>
      </c>
      <c r="S16" s="326">
        <v>0</v>
      </c>
      <c r="T16" s="326">
        <v>0</v>
      </c>
      <c r="U16" s="323">
        <f t="shared" si="5"/>
        <v>15666.05</v>
      </c>
      <c r="V16" s="322">
        <f t="shared" si="2"/>
        <v>9441938.060000002</v>
      </c>
      <c r="W16" s="684">
        <f t="shared" si="6"/>
        <v>-6.863370669708893</v>
      </c>
      <c r="X16" s="684">
        <f t="shared" si="7"/>
        <v>-27.493742617955355</v>
      </c>
      <c r="Y16" s="684">
        <f t="shared" si="8"/>
        <v>-6.907319312438512</v>
      </c>
    </row>
    <row r="17" spans="1:25" ht="21.75">
      <c r="A17" s="198" t="s">
        <v>147</v>
      </c>
      <c r="B17" s="310" t="s">
        <v>369</v>
      </c>
      <c r="C17" s="321">
        <v>9005574.75</v>
      </c>
      <c r="D17" s="321">
        <v>7106.01</v>
      </c>
      <c r="E17" s="321">
        <v>0</v>
      </c>
      <c r="F17" s="321">
        <v>1</v>
      </c>
      <c r="G17" s="324">
        <f t="shared" si="3"/>
        <v>9012681.76</v>
      </c>
      <c r="H17" s="321">
        <v>12860.869999999999</v>
      </c>
      <c r="I17" s="321">
        <v>0</v>
      </c>
      <c r="J17" s="321">
        <v>0</v>
      </c>
      <c r="K17" s="323">
        <f t="shared" si="0"/>
        <v>12860.869999999999</v>
      </c>
      <c r="L17" s="323">
        <f t="shared" si="1"/>
        <v>9025542.629999999</v>
      </c>
      <c r="M17" s="321">
        <v>9531140.03</v>
      </c>
      <c r="N17" s="321">
        <v>7106.01</v>
      </c>
      <c r="O17" s="321">
        <v>0</v>
      </c>
      <c r="P17" s="321">
        <v>4</v>
      </c>
      <c r="Q17" s="324">
        <f t="shared" si="4"/>
        <v>9538250.04</v>
      </c>
      <c r="R17" s="321">
        <v>8337.45</v>
      </c>
      <c r="S17" s="321">
        <v>0</v>
      </c>
      <c r="T17" s="321">
        <v>0</v>
      </c>
      <c r="U17" s="323">
        <f t="shared" si="5"/>
        <v>8337.45</v>
      </c>
      <c r="V17" s="323">
        <f t="shared" si="2"/>
        <v>9546587.489999998</v>
      </c>
      <c r="W17" s="684">
        <f t="shared" si="6"/>
        <v>5.8314305774400195</v>
      </c>
      <c r="X17" s="684">
        <f>(U17-K17)*100/K17</f>
        <v>-35.171959595268426</v>
      </c>
      <c r="Y17" s="684">
        <f t="shared" si="8"/>
        <v>5.773003146293925</v>
      </c>
    </row>
    <row r="18" spans="1:25" ht="21.75">
      <c r="A18" s="198" t="s">
        <v>148</v>
      </c>
      <c r="B18" s="310" t="s">
        <v>370</v>
      </c>
      <c r="C18" s="321">
        <v>7573270.169999999</v>
      </c>
      <c r="D18" s="321">
        <v>2578.96</v>
      </c>
      <c r="E18" s="321">
        <v>0</v>
      </c>
      <c r="F18" s="329">
        <v>2</v>
      </c>
      <c r="G18" s="324">
        <f t="shared" si="3"/>
        <v>7575851.129999999</v>
      </c>
      <c r="H18" s="321">
        <v>15782.5</v>
      </c>
      <c r="I18" s="329">
        <v>0</v>
      </c>
      <c r="J18" s="321">
        <v>0</v>
      </c>
      <c r="K18" s="323">
        <f t="shared" si="0"/>
        <v>15782.5</v>
      </c>
      <c r="L18" s="323">
        <f t="shared" si="1"/>
        <v>7591633.629999999</v>
      </c>
      <c r="M18" s="321">
        <v>7360651.489999999</v>
      </c>
      <c r="N18" s="321">
        <v>4271.96</v>
      </c>
      <c r="O18" s="321">
        <v>0</v>
      </c>
      <c r="P18" s="329">
        <v>7</v>
      </c>
      <c r="Q18" s="324">
        <f t="shared" si="4"/>
        <v>7364930.449999999</v>
      </c>
      <c r="R18" s="321">
        <v>5267.9</v>
      </c>
      <c r="S18" s="329">
        <v>0</v>
      </c>
      <c r="T18" s="321">
        <v>0</v>
      </c>
      <c r="U18" s="323">
        <f t="shared" si="5"/>
        <v>5267.9</v>
      </c>
      <c r="V18" s="323">
        <f t="shared" si="2"/>
        <v>7370198.35</v>
      </c>
      <c r="W18" s="684">
        <f t="shared" si="6"/>
        <v>-2.7841185944740143</v>
      </c>
      <c r="X18" s="684">
        <f t="shared" si="7"/>
        <v>-66.62189133533977</v>
      </c>
      <c r="Y18" s="684">
        <f t="shared" si="8"/>
        <v>-2.916833066402855</v>
      </c>
    </row>
    <row r="19" spans="1:25" ht="21.75">
      <c r="A19" s="198" t="s">
        <v>382</v>
      </c>
      <c r="B19" s="310" t="s">
        <v>371</v>
      </c>
      <c r="C19" s="321">
        <v>5267753.95</v>
      </c>
      <c r="D19" s="321">
        <v>23888.509999999995</v>
      </c>
      <c r="E19" s="321">
        <v>0</v>
      </c>
      <c r="F19" s="329">
        <v>0</v>
      </c>
      <c r="G19" s="324">
        <f t="shared" si="3"/>
        <v>5291642.46</v>
      </c>
      <c r="H19" s="321">
        <v>39326.95</v>
      </c>
      <c r="I19" s="329">
        <v>0</v>
      </c>
      <c r="J19" s="321">
        <v>0</v>
      </c>
      <c r="K19" s="323">
        <f>SUM(H19:J19)</f>
        <v>39326.95</v>
      </c>
      <c r="L19" s="323">
        <f>SUM(G19+K19)</f>
        <v>5330969.41</v>
      </c>
      <c r="M19" s="321">
        <v>6497874.82</v>
      </c>
      <c r="N19" s="321">
        <v>42657.83</v>
      </c>
      <c r="O19" s="321">
        <v>0</v>
      </c>
      <c r="P19" s="329">
        <v>0</v>
      </c>
      <c r="Q19" s="324">
        <f t="shared" si="4"/>
        <v>6540532.65</v>
      </c>
      <c r="R19" s="321">
        <v>5232.1</v>
      </c>
      <c r="S19" s="329">
        <v>0</v>
      </c>
      <c r="T19" s="321">
        <v>0</v>
      </c>
      <c r="U19" s="323">
        <f t="shared" si="5"/>
        <v>5232.1</v>
      </c>
      <c r="V19" s="323">
        <f>SUM(Q19+U19)</f>
        <v>6545764.75</v>
      </c>
      <c r="W19" s="684">
        <f t="shared" si="6"/>
        <v>23.601182420023147</v>
      </c>
      <c r="X19" s="684">
        <f t="shared" si="7"/>
        <v>-86.69589174853377</v>
      </c>
      <c r="Y19" s="684">
        <f t="shared" si="8"/>
        <v>22.787512862505803</v>
      </c>
    </row>
    <row r="20" spans="1:25" ht="21.75">
      <c r="A20" s="198" t="s">
        <v>149</v>
      </c>
      <c r="B20" s="132" t="s">
        <v>104</v>
      </c>
      <c r="C20" s="326">
        <v>4170755.0100000002</v>
      </c>
      <c r="D20" s="326">
        <v>9091.740000000002</v>
      </c>
      <c r="E20" s="326">
        <v>0</v>
      </c>
      <c r="F20" s="326">
        <v>0</v>
      </c>
      <c r="G20" s="324">
        <f t="shared" si="3"/>
        <v>4179846.7500000005</v>
      </c>
      <c r="H20" s="326">
        <v>1819670.5899999999</v>
      </c>
      <c r="I20" s="326">
        <v>542731.11</v>
      </c>
      <c r="J20" s="326">
        <v>551379.88</v>
      </c>
      <c r="K20" s="322">
        <f t="shared" si="0"/>
        <v>2913781.5799999996</v>
      </c>
      <c r="L20" s="322">
        <f t="shared" si="1"/>
        <v>7093628.33</v>
      </c>
      <c r="M20" s="326">
        <v>4612948.22</v>
      </c>
      <c r="N20" s="326">
        <v>11130.099999999999</v>
      </c>
      <c r="O20" s="326">
        <v>0</v>
      </c>
      <c r="P20" s="326">
        <v>2</v>
      </c>
      <c r="Q20" s="324">
        <f t="shared" si="4"/>
        <v>4624080.319999999</v>
      </c>
      <c r="R20" s="326">
        <v>1802727.06</v>
      </c>
      <c r="S20" s="326">
        <v>381821.03</v>
      </c>
      <c r="T20" s="326">
        <v>376405.69</v>
      </c>
      <c r="U20" s="323">
        <f t="shared" si="5"/>
        <v>2560953.78</v>
      </c>
      <c r="V20" s="323">
        <f>SUM(Q20+U20)</f>
        <v>7185034.1</v>
      </c>
      <c r="W20" s="684">
        <f t="shared" si="6"/>
        <v>10.62798701890204</v>
      </c>
      <c r="X20" s="684">
        <f t="shared" si="7"/>
        <v>-12.108930965237274</v>
      </c>
      <c r="Y20" s="684">
        <f t="shared" si="8"/>
        <v>1.2885615900318752</v>
      </c>
    </row>
    <row r="21" spans="1:25" ht="21.75">
      <c r="A21" s="198" t="s">
        <v>150</v>
      </c>
      <c r="B21" s="132" t="s">
        <v>120</v>
      </c>
      <c r="C21" s="326">
        <v>1328927.87</v>
      </c>
      <c r="D21" s="326">
        <v>11626.799999999997</v>
      </c>
      <c r="E21" s="326">
        <v>0</v>
      </c>
      <c r="F21" s="326">
        <v>0</v>
      </c>
      <c r="G21" s="324">
        <f t="shared" si="3"/>
        <v>1340554.6700000002</v>
      </c>
      <c r="H21" s="326">
        <v>792167.37</v>
      </c>
      <c r="I21" s="326">
        <v>212011.5</v>
      </c>
      <c r="J21" s="326">
        <v>114595.65</v>
      </c>
      <c r="K21" s="322">
        <f t="shared" si="0"/>
        <v>1118774.52</v>
      </c>
      <c r="L21" s="322">
        <f t="shared" si="1"/>
        <v>2459329.1900000004</v>
      </c>
      <c r="M21" s="326">
        <v>1264623.68</v>
      </c>
      <c r="N21" s="326">
        <v>11626.799999999997</v>
      </c>
      <c r="O21" s="326">
        <v>0</v>
      </c>
      <c r="P21" s="326">
        <v>0</v>
      </c>
      <c r="Q21" s="324">
        <f t="shared" si="4"/>
        <v>1276250.48</v>
      </c>
      <c r="R21" s="326">
        <v>822509.65</v>
      </c>
      <c r="S21" s="326">
        <v>359803.2</v>
      </c>
      <c r="T21" s="326">
        <v>70091.11</v>
      </c>
      <c r="U21" s="323">
        <f t="shared" si="5"/>
        <v>1252403.9600000002</v>
      </c>
      <c r="V21" s="323">
        <f>SUM(Q21+U21)</f>
        <v>2528654.4400000004</v>
      </c>
      <c r="W21" s="684">
        <f t="shared" si="6"/>
        <v>-4.7968345819122895</v>
      </c>
      <c r="X21" s="684">
        <f t="shared" si="7"/>
        <v>11.94426916336995</v>
      </c>
      <c r="Y21" s="684">
        <f t="shared" si="8"/>
        <v>2.818868262202832</v>
      </c>
    </row>
    <row r="22" spans="1:25" ht="21.75">
      <c r="A22" s="198" t="s">
        <v>151</v>
      </c>
      <c r="B22" s="132" t="s">
        <v>105</v>
      </c>
      <c r="C22" s="326">
        <v>4714211</v>
      </c>
      <c r="D22" s="326">
        <v>773364.4500000001</v>
      </c>
      <c r="E22" s="326">
        <v>0</v>
      </c>
      <c r="F22" s="326">
        <v>0</v>
      </c>
      <c r="G22" s="324">
        <f t="shared" si="3"/>
        <v>5487575.45</v>
      </c>
      <c r="H22" s="326">
        <v>940599.0299999999</v>
      </c>
      <c r="I22" s="326">
        <v>612855.8200000001</v>
      </c>
      <c r="J22" s="326">
        <v>365540.6</v>
      </c>
      <c r="K22" s="322">
        <f t="shared" si="0"/>
        <v>1918995.4500000002</v>
      </c>
      <c r="L22" s="322">
        <f t="shared" si="1"/>
        <v>7406570.9</v>
      </c>
      <c r="M22" s="326">
        <v>4972503.98</v>
      </c>
      <c r="N22" s="326">
        <v>771315.0000000001</v>
      </c>
      <c r="O22" s="326">
        <v>0</v>
      </c>
      <c r="P22" s="326">
        <v>2</v>
      </c>
      <c r="Q22" s="324">
        <f t="shared" si="4"/>
        <v>5743820.98</v>
      </c>
      <c r="R22" s="326">
        <v>951128.68</v>
      </c>
      <c r="S22" s="326">
        <v>517813</v>
      </c>
      <c r="T22" s="326">
        <v>395251.2</v>
      </c>
      <c r="U22" s="323">
        <f t="shared" si="5"/>
        <v>1864192.8800000001</v>
      </c>
      <c r="V22" s="322">
        <f t="shared" si="2"/>
        <v>7608013.86</v>
      </c>
      <c r="W22" s="684">
        <f t="shared" si="6"/>
        <v>4.669558210812395</v>
      </c>
      <c r="X22" s="684">
        <f t="shared" si="7"/>
        <v>-2.855794681535074</v>
      </c>
      <c r="Y22" s="684">
        <f t="shared" si="8"/>
        <v>2.7197871014776887</v>
      </c>
    </row>
    <row r="23" spans="1:25" ht="21.75">
      <c r="A23" s="198" t="s">
        <v>152</v>
      </c>
      <c r="B23" s="132" t="s">
        <v>121</v>
      </c>
      <c r="C23" s="326">
        <v>2573303</v>
      </c>
      <c r="D23" s="326">
        <v>36278.969999999994</v>
      </c>
      <c r="E23" s="326">
        <v>0</v>
      </c>
      <c r="F23" s="326">
        <v>0</v>
      </c>
      <c r="G23" s="324">
        <f t="shared" si="3"/>
        <v>2609581.97</v>
      </c>
      <c r="H23" s="326">
        <v>1130142.99</v>
      </c>
      <c r="I23" s="326">
        <v>390221.06</v>
      </c>
      <c r="J23" s="326">
        <v>180981.09999999998</v>
      </c>
      <c r="K23" s="322">
        <f t="shared" si="0"/>
        <v>1701345.15</v>
      </c>
      <c r="L23" s="322">
        <f t="shared" si="1"/>
        <v>4310927.12</v>
      </c>
      <c r="M23" s="326">
        <v>2710870.5</v>
      </c>
      <c r="N23" s="326">
        <v>27862.97</v>
      </c>
      <c r="O23" s="326">
        <v>0</v>
      </c>
      <c r="P23" s="326">
        <v>3</v>
      </c>
      <c r="Q23" s="324">
        <f t="shared" si="4"/>
        <v>2738736.47</v>
      </c>
      <c r="R23" s="326">
        <v>1016014.3300000001</v>
      </c>
      <c r="S23" s="326">
        <v>445752.83999999997</v>
      </c>
      <c r="T23" s="326">
        <v>404546.25</v>
      </c>
      <c r="U23" s="323">
        <f t="shared" si="5"/>
        <v>1866313.42</v>
      </c>
      <c r="V23" s="322">
        <f t="shared" si="2"/>
        <v>4605049.890000001</v>
      </c>
      <c r="W23" s="684">
        <f t="shared" si="6"/>
        <v>4.949240969809429</v>
      </c>
      <c r="X23" s="684">
        <f t="shared" si="7"/>
        <v>9.696343507958984</v>
      </c>
      <c r="Y23" s="684">
        <f t="shared" si="8"/>
        <v>6.822726569313946</v>
      </c>
    </row>
    <row r="24" spans="1:25" ht="21.75">
      <c r="A24" s="198" t="s">
        <v>153</v>
      </c>
      <c r="B24" s="132" t="s">
        <v>122</v>
      </c>
      <c r="C24" s="326">
        <v>6822213.74</v>
      </c>
      <c r="D24" s="326">
        <v>3405250.1299999994</v>
      </c>
      <c r="E24" s="326">
        <v>0</v>
      </c>
      <c r="F24" s="326">
        <v>1</v>
      </c>
      <c r="G24" s="324">
        <f t="shared" si="3"/>
        <v>10227464.87</v>
      </c>
      <c r="H24" s="326">
        <v>2933490.59</v>
      </c>
      <c r="I24" s="326">
        <v>696485</v>
      </c>
      <c r="J24" s="326">
        <v>502856.79000000004</v>
      </c>
      <c r="K24" s="322">
        <f t="shared" si="0"/>
        <v>4132832.38</v>
      </c>
      <c r="L24" s="322">
        <f t="shared" si="1"/>
        <v>14360297.25</v>
      </c>
      <c r="M24" s="326">
        <v>7358400.5</v>
      </c>
      <c r="N24" s="326">
        <v>981943.39</v>
      </c>
      <c r="O24" s="326">
        <v>0</v>
      </c>
      <c r="P24" s="326">
        <v>2</v>
      </c>
      <c r="Q24" s="324">
        <f t="shared" si="4"/>
        <v>8340345.89</v>
      </c>
      <c r="R24" s="326">
        <v>3234681.46</v>
      </c>
      <c r="S24" s="326">
        <v>614951</v>
      </c>
      <c r="T24" s="326">
        <v>68241.02</v>
      </c>
      <c r="U24" s="323">
        <f t="shared" si="5"/>
        <v>3917873.48</v>
      </c>
      <c r="V24" s="322">
        <f t="shared" si="2"/>
        <v>12258219.37</v>
      </c>
      <c r="W24" s="684">
        <f t="shared" si="6"/>
        <v>-18.451483373318098</v>
      </c>
      <c r="X24" s="684">
        <f t="shared" si="7"/>
        <v>-5.2012489313684656</v>
      </c>
      <c r="Y24" s="684">
        <f t="shared" si="8"/>
        <v>-14.638122341095697</v>
      </c>
    </row>
    <row r="25" spans="1:25" ht="21.75">
      <c r="A25" s="198" t="s">
        <v>154</v>
      </c>
      <c r="B25" s="132" t="s">
        <v>106</v>
      </c>
      <c r="C25" s="326">
        <v>2674802.1</v>
      </c>
      <c r="D25" s="326">
        <v>185645.18000000005</v>
      </c>
      <c r="E25" s="326">
        <v>0</v>
      </c>
      <c r="F25" s="326">
        <v>0</v>
      </c>
      <c r="G25" s="324">
        <f t="shared" si="3"/>
        <v>2860447.2800000003</v>
      </c>
      <c r="H25" s="326">
        <v>1443617.28</v>
      </c>
      <c r="I25" s="326">
        <v>522993</v>
      </c>
      <c r="J25" s="326">
        <v>185280.5</v>
      </c>
      <c r="K25" s="322">
        <f t="shared" si="0"/>
        <v>2151890.7800000003</v>
      </c>
      <c r="L25" s="322">
        <f t="shared" si="1"/>
        <v>5012338.0600000005</v>
      </c>
      <c r="M25" s="326">
        <v>2798428.7</v>
      </c>
      <c r="N25" s="326">
        <v>186555.80000000002</v>
      </c>
      <c r="O25" s="326">
        <v>0</v>
      </c>
      <c r="P25" s="326">
        <v>2</v>
      </c>
      <c r="Q25" s="324">
        <f t="shared" si="4"/>
        <v>2984986.5</v>
      </c>
      <c r="R25" s="326">
        <v>1414502.44</v>
      </c>
      <c r="S25" s="326">
        <v>686373.3600000001</v>
      </c>
      <c r="T25" s="326">
        <v>120017.8</v>
      </c>
      <c r="U25" s="323">
        <f t="shared" si="5"/>
        <v>2220893.5999999996</v>
      </c>
      <c r="V25" s="322">
        <f t="shared" si="2"/>
        <v>5205880.1</v>
      </c>
      <c r="W25" s="684">
        <f t="shared" si="6"/>
        <v>4.353837278203558</v>
      </c>
      <c r="X25" s="684">
        <f t="shared" si="7"/>
        <v>3.206613488069286</v>
      </c>
      <c r="Y25" s="684">
        <f t="shared" si="8"/>
        <v>3.86131257874492</v>
      </c>
    </row>
    <row r="26" spans="1:25" ht="21.75">
      <c r="A26" s="198" t="s">
        <v>155</v>
      </c>
      <c r="B26" s="132" t="s">
        <v>123</v>
      </c>
      <c r="C26" s="326">
        <v>3104991.8400000003</v>
      </c>
      <c r="D26" s="326">
        <v>76472.58</v>
      </c>
      <c r="E26" s="326">
        <v>0</v>
      </c>
      <c r="F26" s="326">
        <v>2</v>
      </c>
      <c r="G26" s="324">
        <f t="shared" si="3"/>
        <v>3181466.4200000004</v>
      </c>
      <c r="H26" s="326">
        <v>1172134.0899999999</v>
      </c>
      <c r="I26" s="326">
        <v>842422.74</v>
      </c>
      <c r="J26" s="326">
        <v>539868.98</v>
      </c>
      <c r="K26" s="322">
        <f t="shared" si="0"/>
        <v>2554425.8099999996</v>
      </c>
      <c r="L26" s="322">
        <f t="shared" si="1"/>
        <v>5735892.23</v>
      </c>
      <c r="M26" s="326">
        <v>3413759.36</v>
      </c>
      <c r="N26" s="326">
        <v>78627.58999999998</v>
      </c>
      <c r="O26" s="326">
        <v>0</v>
      </c>
      <c r="P26" s="326">
        <v>0</v>
      </c>
      <c r="Q26" s="324">
        <f t="shared" si="4"/>
        <v>3492386.9499999997</v>
      </c>
      <c r="R26" s="326">
        <v>1235051.99</v>
      </c>
      <c r="S26" s="326">
        <v>662837.84</v>
      </c>
      <c r="T26" s="326">
        <v>289191.63</v>
      </c>
      <c r="U26" s="323">
        <f t="shared" si="5"/>
        <v>2187081.46</v>
      </c>
      <c r="V26" s="322">
        <f t="shared" si="2"/>
        <v>5679468.41</v>
      </c>
      <c r="W26" s="684">
        <f t="shared" si="6"/>
        <v>9.77286851262756</v>
      </c>
      <c r="X26" s="684">
        <f t="shared" si="7"/>
        <v>-14.380701469658252</v>
      </c>
      <c r="Y26" s="684">
        <f t="shared" si="8"/>
        <v>-0.9836973523472267</v>
      </c>
    </row>
    <row r="27" spans="1:25" ht="21.75">
      <c r="A27" s="198" t="s">
        <v>156</v>
      </c>
      <c r="B27" s="132" t="s">
        <v>230</v>
      </c>
      <c r="C27" s="326">
        <v>11844746.13</v>
      </c>
      <c r="D27" s="327">
        <v>606614.03</v>
      </c>
      <c r="E27" s="327">
        <v>1199024.93</v>
      </c>
      <c r="F27" s="327">
        <v>0</v>
      </c>
      <c r="G27" s="324">
        <f t="shared" si="3"/>
        <v>13650385.09</v>
      </c>
      <c r="H27" s="326">
        <v>18702488.89</v>
      </c>
      <c r="I27" s="326">
        <v>0</v>
      </c>
      <c r="J27" s="326">
        <v>5709726.49</v>
      </c>
      <c r="K27" s="322">
        <f t="shared" si="0"/>
        <v>24412215.380000003</v>
      </c>
      <c r="L27" s="322">
        <f t="shared" si="1"/>
        <v>38062600.47</v>
      </c>
      <c r="M27" s="326">
        <v>11396135.129999999</v>
      </c>
      <c r="N27" s="327">
        <v>416515.66</v>
      </c>
      <c r="O27" s="327">
        <v>317524.98</v>
      </c>
      <c r="P27" s="327">
        <v>0</v>
      </c>
      <c r="Q27" s="324">
        <f t="shared" si="4"/>
        <v>12130175.77</v>
      </c>
      <c r="R27" s="326">
        <v>17539273.56</v>
      </c>
      <c r="S27" s="326">
        <v>230943.6</v>
      </c>
      <c r="T27" s="326">
        <v>3606180.5</v>
      </c>
      <c r="U27" s="323">
        <f t="shared" si="5"/>
        <v>21376397.66</v>
      </c>
      <c r="V27" s="322">
        <f t="shared" si="2"/>
        <v>33506573.43</v>
      </c>
      <c r="W27" s="684">
        <f t="shared" si="6"/>
        <v>-11.13675042848187</v>
      </c>
      <c r="X27" s="684">
        <f t="shared" si="7"/>
        <v>-12.435650237983449</v>
      </c>
      <c r="Y27" s="684">
        <f t="shared" si="8"/>
        <v>-11.96982598073126</v>
      </c>
    </row>
    <row r="28" spans="1:25" ht="21.75">
      <c r="A28" s="198" t="s">
        <v>157</v>
      </c>
      <c r="B28" s="132" t="s">
        <v>124</v>
      </c>
      <c r="C28" s="326">
        <v>5241297.400000001</v>
      </c>
      <c r="D28" s="326">
        <v>334313.06</v>
      </c>
      <c r="E28" s="326">
        <v>332222.11</v>
      </c>
      <c r="F28" s="327">
        <v>0</v>
      </c>
      <c r="G28" s="324">
        <f t="shared" si="3"/>
        <v>5907832.570000001</v>
      </c>
      <c r="H28" s="326">
        <v>4177472.7000000007</v>
      </c>
      <c r="I28" s="326">
        <v>336039.08</v>
      </c>
      <c r="J28" s="326">
        <v>1893280.32</v>
      </c>
      <c r="K28" s="322">
        <f t="shared" si="0"/>
        <v>6406792.100000001</v>
      </c>
      <c r="L28" s="322">
        <f t="shared" si="1"/>
        <v>12314624.670000002</v>
      </c>
      <c r="M28" s="326">
        <v>5231662.81</v>
      </c>
      <c r="N28" s="326">
        <v>337837.76</v>
      </c>
      <c r="O28" s="326">
        <v>404669.46</v>
      </c>
      <c r="P28" s="327">
        <v>0</v>
      </c>
      <c r="Q28" s="324">
        <f t="shared" si="4"/>
        <v>5974170.029999999</v>
      </c>
      <c r="R28" s="326">
        <v>3637763.4299999997</v>
      </c>
      <c r="S28" s="326">
        <v>645666.16</v>
      </c>
      <c r="T28" s="326">
        <v>903234.8199999998</v>
      </c>
      <c r="U28" s="323">
        <f t="shared" si="5"/>
        <v>5186664.41</v>
      </c>
      <c r="V28" s="322">
        <f t="shared" si="2"/>
        <v>11160834.44</v>
      </c>
      <c r="W28" s="684">
        <f t="shared" si="6"/>
        <v>1.1228730539328418</v>
      </c>
      <c r="X28" s="684">
        <f t="shared" si="7"/>
        <v>-19.044284112169027</v>
      </c>
      <c r="Y28" s="684">
        <f t="shared" si="8"/>
        <v>-9.369268336783197</v>
      </c>
    </row>
    <row r="29" spans="1:25" ht="21.75">
      <c r="A29" s="198" t="s">
        <v>158</v>
      </c>
      <c r="B29" s="132" t="s">
        <v>125</v>
      </c>
      <c r="C29" s="326">
        <v>9169495.61</v>
      </c>
      <c r="D29" s="326">
        <v>533353.1500000001</v>
      </c>
      <c r="E29" s="326">
        <v>81896.11</v>
      </c>
      <c r="F29" s="327">
        <v>0</v>
      </c>
      <c r="G29" s="324">
        <f t="shared" si="3"/>
        <v>9784744.87</v>
      </c>
      <c r="H29" s="326">
        <v>15796129.14</v>
      </c>
      <c r="I29" s="326">
        <v>0</v>
      </c>
      <c r="J29" s="326">
        <v>5192885.18</v>
      </c>
      <c r="K29" s="322">
        <f t="shared" si="0"/>
        <v>20989014.32</v>
      </c>
      <c r="L29" s="322">
        <f t="shared" si="1"/>
        <v>30773759.189999998</v>
      </c>
      <c r="M29" s="326">
        <v>10379611.309999999</v>
      </c>
      <c r="N29" s="326">
        <v>279989.8599999999</v>
      </c>
      <c r="O29" s="326">
        <v>956566.04</v>
      </c>
      <c r="P29" s="327">
        <v>0</v>
      </c>
      <c r="Q29" s="324">
        <f t="shared" si="4"/>
        <v>11616167.209999997</v>
      </c>
      <c r="R29" s="326">
        <v>12137404.229999999</v>
      </c>
      <c r="S29" s="326">
        <v>266764.52</v>
      </c>
      <c r="T29" s="326">
        <v>2741859.8100000005</v>
      </c>
      <c r="U29" s="323">
        <f t="shared" si="5"/>
        <v>15146028.559999999</v>
      </c>
      <c r="V29" s="322">
        <f t="shared" si="2"/>
        <v>26762195.769999996</v>
      </c>
      <c r="W29" s="684">
        <f t="shared" si="6"/>
        <v>18.717118988100893</v>
      </c>
      <c r="X29" s="684">
        <f t="shared" si="7"/>
        <v>-27.838304700341933</v>
      </c>
      <c r="Y29" s="684">
        <f t="shared" si="8"/>
        <v>-13.035662608627835</v>
      </c>
    </row>
    <row r="30" spans="1:25" ht="21.75">
      <c r="A30" s="198" t="s">
        <v>159</v>
      </c>
      <c r="B30" s="132" t="s">
        <v>126</v>
      </c>
      <c r="C30" s="326">
        <v>13111438.280000001</v>
      </c>
      <c r="D30" s="326">
        <v>473687.7099999999</v>
      </c>
      <c r="E30" s="326">
        <v>118751.94</v>
      </c>
      <c r="F30" s="327">
        <v>0</v>
      </c>
      <c r="G30" s="324">
        <f t="shared" si="3"/>
        <v>13703877.93</v>
      </c>
      <c r="H30" s="326">
        <v>5285987.55</v>
      </c>
      <c r="I30" s="326">
        <v>2257974.4000000004</v>
      </c>
      <c r="J30" s="326">
        <v>3611760.64</v>
      </c>
      <c r="K30" s="322">
        <f t="shared" si="0"/>
        <v>11155722.59</v>
      </c>
      <c r="L30" s="322">
        <f t="shared" si="1"/>
        <v>24859600.52</v>
      </c>
      <c r="M30" s="326">
        <v>14017302.56</v>
      </c>
      <c r="N30" s="326">
        <v>239564.59999999998</v>
      </c>
      <c r="O30" s="326">
        <v>1037423.47</v>
      </c>
      <c r="P30" s="327">
        <v>0</v>
      </c>
      <c r="Q30" s="324">
        <f t="shared" si="4"/>
        <v>15294290.63</v>
      </c>
      <c r="R30" s="326">
        <v>5524626</v>
      </c>
      <c r="S30" s="326">
        <v>558963.33</v>
      </c>
      <c r="T30" s="326">
        <v>3863410.63</v>
      </c>
      <c r="U30" s="323">
        <f t="shared" si="5"/>
        <v>9946999.96</v>
      </c>
      <c r="V30" s="322">
        <f t="shared" si="2"/>
        <v>25241290.590000004</v>
      </c>
      <c r="W30" s="684">
        <f t="shared" si="6"/>
        <v>11.605566746317342</v>
      </c>
      <c r="X30" s="684">
        <f t="shared" si="7"/>
        <v>-10.835000783216849</v>
      </c>
      <c r="Y30" s="684">
        <f t="shared" si="8"/>
        <v>1.5353829587604493</v>
      </c>
    </row>
    <row r="31" spans="1:25" ht="21.75">
      <c r="A31" s="198" t="s">
        <v>160</v>
      </c>
      <c r="B31" s="132" t="s">
        <v>127</v>
      </c>
      <c r="C31" s="326">
        <v>14472233.869999997</v>
      </c>
      <c r="D31" s="327">
        <v>544937.2</v>
      </c>
      <c r="E31" s="327">
        <v>205645.67</v>
      </c>
      <c r="F31" s="327">
        <v>0</v>
      </c>
      <c r="G31" s="324">
        <f t="shared" si="3"/>
        <v>15222816.739999996</v>
      </c>
      <c r="H31" s="326">
        <v>8040642.260000001</v>
      </c>
      <c r="I31" s="326">
        <v>2444386.4699999997</v>
      </c>
      <c r="J31" s="326">
        <v>4251904.75</v>
      </c>
      <c r="K31" s="322">
        <f t="shared" si="0"/>
        <v>14736933.48</v>
      </c>
      <c r="L31" s="322">
        <f t="shared" si="1"/>
        <v>29959750.22</v>
      </c>
      <c r="M31" s="326">
        <v>14520498.99</v>
      </c>
      <c r="N31" s="327">
        <v>490738.92</v>
      </c>
      <c r="O31" s="327">
        <v>914671.691863397</v>
      </c>
      <c r="P31" s="327">
        <v>0</v>
      </c>
      <c r="Q31" s="324">
        <f t="shared" si="4"/>
        <v>15925909.601863397</v>
      </c>
      <c r="R31" s="326">
        <v>7879674.76</v>
      </c>
      <c r="S31" s="326">
        <v>924903.7</v>
      </c>
      <c r="T31" s="326">
        <v>620129.62</v>
      </c>
      <c r="U31" s="323">
        <f t="shared" si="5"/>
        <v>9424708.079999998</v>
      </c>
      <c r="V31" s="322">
        <f t="shared" si="2"/>
        <v>25350617.681863397</v>
      </c>
      <c r="W31" s="684">
        <f t="shared" si="6"/>
        <v>4.618677829944112</v>
      </c>
      <c r="X31" s="684">
        <f t="shared" si="7"/>
        <v>-36.04702027873985</v>
      </c>
      <c r="Y31" s="684">
        <f t="shared" si="8"/>
        <v>-15.384415772130565</v>
      </c>
    </row>
    <row r="32" spans="1:25" ht="21.75">
      <c r="A32" s="198" t="s">
        <v>161</v>
      </c>
      <c r="B32" s="132" t="s">
        <v>128</v>
      </c>
      <c r="C32" s="326">
        <v>6864108.86</v>
      </c>
      <c r="D32" s="326">
        <v>35782.33</v>
      </c>
      <c r="E32" s="326">
        <v>69161.69</v>
      </c>
      <c r="F32" s="327">
        <v>0</v>
      </c>
      <c r="G32" s="324">
        <f t="shared" si="3"/>
        <v>6969052.880000001</v>
      </c>
      <c r="H32" s="326">
        <v>6336041.09</v>
      </c>
      <c r="I32" s="326">
        <v>645287.6000000001</v>
      </c>
      <c r="J32" s="326">
        <v>1865239.3800000001</v>
      </c>
      <c r="K32" s="322">
        <f t="shared" si="0"/>
        <v>8846568.07</v>
      </c>
      <c r="L32" s="322">
        <f t="shared" si="1"/>
        <v>15815620.950000001</v>
      </c>
      <c r="M32" s="326">
        <v>6264972.870000001</v>
      </c>
      <c r="N32" s="326">
        <v>35782.32</v>
      </c>
      <c r="O32" s="326">
        <v>750092.61</v>
      </c>
      <c r="P32" s="327">
        <v>0</v>
      </c>
      <c r="Q32" s="324">
        <f t="shared" si="4"/>
        <v>7050847.800000002</v>
      </c>
      <c r="R32" s="326">
        <v>6359886.269999999</v>
      </c>
      <c r="S32" s="326">
        <v>2463607.62</v>
      </c>
      <c r="T32" s="326">
        <v>1013140.8399999999</v>
      </c>
      <c r="U32" s="323">
        <f t="shared" si="5"/>
        <v>9836634.729999999</v>
      </c>
      <c r="V32" s="322">
        <f t="shared" si="2"/>
        <v>16887482.53</v>
      </c>
      <c r="W32" s="684">
        <f t="shared" si="6"/>
        <v>1.1736877508095598</v>
      </c>
      <c r="X32" s="684">
        <f t="shared" si="7"/>
        <v>11.19153384867357</v>
      </c>
      <c r="Y32" s="684">
        <f t="shared" si="8"/>
        <v>6.777233618513094</v>
      </c>
    </row>
    <row r="33" spans="1:25" ht="21.75">
      <c r="A33" s="198" t="s">
        <v>162</v>
      </c>
      <c r="B33" s="132" t="s">
        <v>129</v>
      </c>
      <c r="C33" s="326">
        <v>13432874.79</v>
      </c>
      <c r="D33" s="326">
        <v>454931.68000000005</v>
      </c>
      <c r="E33" s="326">
        <v>174006.19</v>
      </c>
      <c r="F33" s="327">
        <v>2</v>
      </c>
      <c r="G33" s="324">
        <f t="shared" si="3"/>
        <v>14061814.659999998</v>
      </c>
      <c r="H33" s="326">
        <v>9062582.34</v>
      </c>
      <c r="I33" s="326">
        <v>1144627.4600000002</v>
      </c>
      <c r="J33" s="326">
        <v>1541151.33</v>
      </c>
      <c r="K33" s="322">
        <f t="shared" si="0"/>
        <v>11748361.13</v>
      </c>
      <c r="L33" s="322">
        <f t="shared" si="1"/>
        <v>25810175.79</v>
      </c>
      <c r="M33" s="326">
        <v>12911012.489999998</v>
      </c>
      <c r="N33" s="326">
        <v>197458.12</v>
      </c>
      <c r="O33" s="326">
        <v>319033.93</v>
      </c>
      <c r="P33" s="327">
        <v>2</v>
      </c>
      <c r="Q33" s="324">
        <f t="shared" si="4"/>
        <v>13427506.539999997</v>
      </c>
      <c r="R33" s="326">
        <v>4468255.28</v>
      </c>
      <c r="S33" s="326">
        <v>945385.7999999999</v>
      </c>
      <c r="T33" s="326">
        <v>980856.1199999999</v>
      </c>
      <c r="U33" s="323">
        <f t="shared" si="5"/>
        <v>6394497.2</v>
      </c>
      <c r="V33" s="322">
        <f t="shared" si="2"/>
        <v>19822003.74</v>
      </c>
      <c r="W33" s="684">
        <f t="shared" si="6"/>
        <v>-4.5108553578390085</v>
      </c>
      <c r="X33" s="684">
        <f t="shared" si="7"/>
        <v>-45.57115559146929</v>
      </c>
      <c r="Y33" s="684">
        <f t="shared" si="8"/>
        <v>-23.200818540414915</v>
      </c>
    </row>
    <row r="34" spans="1:25" ht="21.75">
      <c r="A34" s="198" t="s">
        <v>163</v>
      </c>
      <c r="B34" s="132" t="s">
        <v>130</v>
      </c>
      <c r="C34" s="326">
        <v>5869178.89</v>
      </c>
      <c r="D34" s="326">
        <v>29529.89</v>
      </c>
      <c r="E34" s="326">
        <v>161980.38</v>
      </c>
      <c r="F34" s="327">
        <v>0</v>
      </c>
      <c r="G34" s="324">
        <f t="shared" si="3"/>
        <v>6060689.159999999</v>
      </c>
      <c r="H34" s="326">
        <v>4313809.75</v>
      </c>
      <c r="I34" s="326">
        <v>440566.39999999997</v>
      </c>
      <c r="J34" s="326">
        <v>1029283.3200000001</v>
      </c>
      <c r="K34" s="322">
        <f t="shared" si="0"/>
        <v>5783659.470000001</v>
      </c>
      <c r="L34" s="322">
        <f t="shared" si="1"/>
        <v>11844348.629999999</v>
      </c>
      <c r="M34" s="326">
        <v>5431586.5200000005</v>
      </c>
      <c r="N34" s="326">
        <v>68154.87000000001</v>
      </c>
      <c r="O34" s="326">
        <v>596718.94</v>
      </c>
      <c r="P34" s="327">
        <v>14</v>
      </c>
      <c r="Q34" s="324">
        <f t="shared" si="4"/>
        <v>6096474.33</v>
      </c>
      <c r="R34" s="326">
        <v>8587436.290000001</v>
      </c>
      <c r="S34" s="326">
        <v>652456.14</v>
      </c>
      <c r="T34" s="326">
        <v>486543.98999999993</v>
      </c>
      <c r="U34" s="323">
        <f t="shared" si="5"/>
        <v>9726436.420000002</v>
      </c>
      <c r="V34" s="322">
        <f t="shared" si="2"/>
        <v>15822910.750000002</v>
      </c>
      <c r="W34" s="684">
        <f t="shared" si="6"/>
        <v>0.5904472091421508</v>
      </c>
      <c r="X34" s="684">
        <f t="shared" si="7"/>
        <v>68.17097324715074</v>
      </c>
      <c r="Y34" s="684">
        <f t="shared" si="8"/>
        <v>33.590383433352244</v>
      </c>
    </row>
    <row r="35" spans="1:25" ht="21.75">
      <c r="A35" s="198" t="s">
        <v>164</v>
      </c>
      <c r="B35" s="132" t="s">
        <v>131</v>
      </c>
      <c r="C35" s="326">
        <v>6163303.47</v>
      </c>
      <c r="D35" s="326">
        <v>44095.4</v>
      </c>
      <c r="E35" s="326">
        <v>41311.33</v>
      </c>
      <c r="F35" s="327">
        <v>0</v>
      </c>
      <c r="G35" s="324">
        <f t="shared" si="3"/>
        <v>6248710.2</v>
      </c>
      <c r="H35" s="326">
        <v>4623423.27</v>
      </c>
      <c r="I35" s="326">
        <v>297847.89</v>
      </c>
      <c r="J35" s="326">
        <v>737768.3600000001</v>
      </c>
      <c r="K35" s="322">
        <f t="shared" si="0"/>
        <v>5659039.52</v>
      </c>
      <c r="L35" s="322">
        <f t="shared" si="1"/>
        <v>11907749.719999999</v>
      </c>
      <c r="M35" s="326">
        <v>6166749.169999999</v>
      </c>
      <c r="N35" s="326">
        <v>42143.45</v>
      </c>
      <c r="O35" s="326">
        <v>186865.46</v>
      </c>
      <c r="P35" s="327">
        <v>0</v>
      </c>
      <c r="Q35" s="324">
        <f t="shared" si="4"/>
        <v>6395758.079999999</v>
      </c>
      <c r="R35" s="326">
        <v>3857029.04</v>
      </c>
      <c r="S35" s="326">
        <v>827086.1599999999</v>
      </c>
      <c r="T35" s="326">
        <v>2623759.48</v>
      </c>
      <c r="U35" s="323">
        <f t="shared" si="5"/>
        <v>7307874.68</v>
      </c>
      <c r="V35" s="322">
        <f t="shared" si="2"/>
        <v>13703632.759999998</v>
      </c>
      <c r="W35" s="684">
        <f t="shared" si="6"/>
        <v>2.35325171585008</v>
      </c>
      <c r="X35" s="684">
        <f t="shared" si="7"/>
        <v>29.136307569027192</v>
      </c>
      <c r="Y35" s="684">
        <f t="shared" si="8"/>
        <v>15.08163240098734</v>
      </c>
    </row>
    <row r="36" spans="1:25" ht="21.75">
      <c r="A36" s="198" t="s">
        <v>165</v>
      </c>
      <c r="B36" s="132" t="s">
        <v>132</v>
      </c>
      <c r="C36" s="326">
        <v>4780659.790000001</v>
      </c>
      <c r="D36" s="326">
        <v>26751.099999999995</v>
      </c>
      <c r="E36" s="326">
        <v>81689.46</v>
      </c>
      <c r="F36" s="327">
        <v>0</v>
      </c>
      <c r="G36" s="324">
        <f t="shared" si="3"/>
        <v>4889100.350000001</v>
      </c>
      <c r="H36" s="326">
        <v>3901133.55</v>
      </c>
      <c r="I36" s="326">
        <v>43753.79</v>
      </c>
      <c r="J36" s="326">
        <v>671053.79</v>
      </c>
      <c r="K36" s="322">
        <f t="shared" si="0"/>
        <v>4615941.13</v>
      </c>
      <c r="L36" s="322">
        <f t="shared" si="1"/>
        <v>9505041.48</v>
      </c>
      <c r="M36" s="326">
        <v>4576604.859999999</v>
      </c>
      <c r="N36" s="326">
        <v>26751.069999999996</v>
      </c>
      <c r="O36" s="326">
        <v>287106.63</v>
      </c>
      <c r="P36" s="327">
        <v>0</v>
      </c>
      <c r="Q36" s="324">
        <f t="shared" si="4"/>
        <v>4890462.56</v>
      </c>
      <c r="R36" s="326">
        <v>3592054.3800000004</v>
      </c>
      <c r="S36" s="326">
        <v>57660.53</v>
      </c>
      <c r="T36" s="326">
        <v>430544.43</v>
      </c>
      <c r="U36" s="323">
        <f t="shared" si="5"/>
        <v>4080259.3400000003</v>
      </c>
      <c r="V36" s="322">
        <f t="shared" si="2"/>
        <v>8970721.9</v>
      </c>
      <c r="W36" s="684">
        <f t="shared" si="6"/>
        <v>0.027862181229293674</v>
      </c>
      <c r="X36" s="684">
        <f t="shared" si="7"/>
        <v>-11.605039468950064</v>
      </c>
      <c r="Y36" s="684">
        <f t="shared" si="8"/>
        <v>-5.621433437447767</v>
      </c>
    </row>
    <row r="37" spans="1:25" ht="21.75">
      <c r="A37" s="198" t="s">
        <v>166</v>
      </c>
      <c r="B37" s="132" t="s">
        <v>119</v>
      </c>
      <c r="C37" s="326">
        <v>5586053.61</v>
      </c>
      <c r="D37" s="326">
        <v>14456.920000000002</v>
      </c>
      <c r="E37" s="326">
        <v>95792.33</v>
      </c>
      <c r="F37" s="327">
        <v>0</v>
      </c>
      <c r="G37" s="324">
        <f t="shared" si="3"/>
        <v>5696302.86</v>
      </c>
      <c r="H37" s="326">
        <v>9184403.84</v>
      </c>
      <c r="I37" s="326">
        <v>532706.95</v>
      </c>
      <c r="J37" s="326">
        <v>1415366.7100000002</v>
      </c>
      <c r="K37" s="322">
        <f t="shared" si="0"/>
        <v>11132477.5</v>
      </c>
      <c r="L37" s="322">
        <f t="shared" si="1"/>
        <v>16828780.36</v>
      </c>
      <c r="M37" s="326">
        <v>5572932</v>
      </c>
      <c r="N37" s="326">
        <v>9825.670000000002</v>
      </c>
      <c r="O37" s="326">
        <v>345120.94</v>
      </c>
      <c r="P37" s="327">
        <v>0</v>
      </c>
      <c r="Q37" s="324">
        <f t="shared" si="4"/>
        <v>5927878.61</v>
      </c>
      <c r="R37" s="326">
        <v>8125227.87</v>
      </c>
      <c r="S37" s="326">
        <v>366318.06999999995</v>
      </c>
      <c r="T37" s="326">
        <v>638155.52</v>
      </c>
      <c r="U37" s="323">
        <f t="shared" si="5"/>
        <v>9129701.459999999</v>
      </c>
      <c r="V37" s="322">
        <f t="shared" si="2"/>
        <v>15057580.07</v>
      </c>
      <c r="W37" s="684">
        <f t="shared" si="6"/>
        <v>4.06536934028118</v>
      </c>
      <c r="X37" s="684">
        <f t="shared" si="7"/>
        <v>-17.990389291152855</v>
      </c>
      <c r="Y37" s="684">
        <f t="shared" si="8"/>
        <v>-10.524828609742453</v>
      </c>
    </row>
    <row r="38" spans="1:25" ht="21.75">
      <c r="A38" s="198" t="s">
        <v>167</v>
      </c>
      <c r="B38" s="132" t="s">
        <v>135</v>
      </c>
      <c r="C38" s="326">
        <v>5874059.83</v>
      </c>
      <c r="D38" s="326">
        <v>263875.26</v>
      </c>
      <c r="E38" s="326">
        <v>206234.04</v>
      </c>
      <c r="F38" s="327">
        <v>0</v>
      </c>
      <c r="G38" s="324">
        <f t="shared" si="3"/>
        <v>6344169.13</v>
      </c>
      <c r="H38" s="326">
        <v>6745738.9799999995</v>
      </c>
      <c r="I38" s="326">
        <v>277869.36</v>
      </c>
      <c r="J38" s="326">
        <v>513114.31</v>
      </c>
      <c r="K38" s="322">
        <f t="shared" si="0"/>
        <v>7536722.649999999</v>
      </c>
      <c r="L38" s="322">
        <f>SUM(G38+K38)</f>
        <v>13880891.78</v>
      </c>
      <c r="M38" s="326">
        <v>5375915.880000001</v>
      </c>
      <c r="N38" s="326">
        <v>167039</v>
      </c>
      <c r="O38" s="326">
        <v>549005.55</v>
      </c>
      <c r="P38" s="327">
        <v>0</v>
      </c>
      <c r="Q38" s="324">
        <f t="shared" si="4"/>
        <v>6091960.430000001</v>
      </c>
      <c r="R38" s="326">
        <v>3455363.1999999997</v>
      </c>
      <c r="S38" s="326">
        <v>131949.06</v>
      </c>
      <c r="T38" s="326">
        <v>1870384.52</v>
      </c>
      <c r="U38" s="323">
        <f t="shared" si="5"/>
        <v>5457696.779999999</v>
      </c>
      <c r="V38" s="322">
        <f t="shared" si="2"/>
        <v>11549657.21</v>
      </c>
      <c r="W38" s="684">
        <f t="shared" si="6"/>
        <v>-3.9754409889132205</v>
      </c>
      <c r="X38" s="684">
        <f t="shared" si="7"/>
        <v>-27.585277667077218</v>
      </c>
      <c r="Y38" s="684">
        <f t="shared" si="8"/>
        <v>-16.794559074071238</v>
      </c>
    </row>
    <row r="39" spans="1:25" ht="21.75">
      <c r="A39" s="198" t="s">
        <v>168</v>
      </c>
      <c r="B39" s="132" t="s">
        <v>133</v>
      </c>
      <c r="C39" s="326">
        <v>4929036.720000001</v>
      </c>
      <c r="D39" s="326">
        <v>301612.21</v>
      </c>
      <c r="E39" s="326">
        <v>418514.91</v>
      </c>
      <c r="F39" s="327">
        <v>0</v>
      </c>
      <c r="G39" s="324">
        <f t="shared" si="3"/>
        <v>5649163.840000001</v>
      </c>
      <c r="H39" s="326">
        <v>4884930.350000001</v>
      </c>
      <c r="I39" s="326">
        <v>270602.10000000003</v>
      </c>
      <c r="J39" s="326">
        <v>1039246.8</v>
      </c>
      <c r="K39" s="322">
        <f t="shared" si="0"/>
        <v>6194779.25</v>
      </c>
      <c r="L39" s="322">
        <f>SUM(G39+K39)</f>
        <v>11843943.09</v>
      </c>
      <c r="M39" s="326">
        <v>4740810.960000001</v>
      </c>
      <c r="N39" s="326">
        <v>96554.10999999999</v>
      </c>
      <c r="O39" s="326">
        <v>488595.39</v>
      </c>
      <c r="P39" s="327">
        <v>0</v>
      </c>
      <c r="Q39" s="324">
        <f t="shared" si="4"/>
        <v>5325960.460000001</v>
      </c>
      <c r="R39" s="326">
        <v>6013586.4</v>
      </c>
      <c r="S39" s="326">
        <v>614789.77</v>
      </c>
      <c r="T39" s="326">
        <v>1564193.6600000001</v>
      </c>
      <c r="U39" s="323">
        <f t="shared" si="5"/>
        <v>8192569.83</v>
      </c>
      <c r="V39" s="322">
        <f t="shared" si="2"/>
        <v>13518530.290000001</v>
      </c>
      <c r="W39" s="684">
        <f t="shared" si="6"/>
        <v>-5.721260511360914</v>
      </c>
      <c r="X39" s="684">
        <f t="shared" si="7"/>
        <v>32.24958468051949</v>
      </c>
      <c r="Y39" s="684">
        <f t="shared" si="8"/>
        <v>14.138764322617167</v>
      </c>
    </row>
    <row r="40" spans="1:25" ht="21.75">
      <c r="A40" s="198" t="s">
        <v>169</v>
      </c>
      <c r="B40" s="132" t="s">
        <v>134</v>
      </c>
      <c r="C40" s="326">
        <v>4390613.379999999</v>
      </c>
      <c r="D40" s="326">
        <v>311951.77</v>
      </c>
      <c r="E40" s="326">
        <v>16240.7</v>
      </c>
      <c r="F40" s="327">
        <v>5585.4</v>
      </c>
      <c r="G40" s="324">
        <f t="shared" si="3"/>
        <v>4724391.249999999</v>
      </c>
      <c r="H40" s="330">
        <v>3420033.3000000003</v>
      </c>
      <c r="I40" s="326">
        <v>74218.39</v>
      </c>
      <c r="J40" s="326">
        <v>1711998.48</v>
      </c>
      <c r="K40" s="322">
        <f t="shared" si="0"/>
        <v>5206250.17</v>
      </c>
      <c r="L40" s="322">
        <f t="shared" si="1"/>
        <v>9930641.419999998</v>
      </c>
      <c r="M40" s="326">
        <v>4673274.73</v>
      </c>
      <c r="N40" s="326">
        <v>225946.05000000002</v>
      </c>
      <c r="O40" s="326">
        <v>495581.26</v>
      </c>
      <c r="P40" s="327">
        <v>0</v>
      </c>
      <c r="Q40" s="324">
        <f t="shared" si="4"/>
        <v>5394802.04</v>
      </c>
      <c r="R40" s="330">
        <v>3975182.6399999997</v>
      </c>
      <c r="S40" s="326">
        <v>68922.70999999999</v>
      </c>
      <c r="T40" s="326">
        <v>388474.9</v>
      </c>
      <c r="U40" s="323">
        <f t="shared" si="5"/>
        <v>4432580.25</v>
      </c>
      <c r="V40" s="322">
        <f t="shared" si="2"/>
        <v>9827382.29</v>
      </c>
      <c r="W40" s="684">
        <f t="shared" si="6"/>
        <v>14.190416384333137</v>
      </c>
      <c r="X40" s="684">
        <f t="shared" si="7"/>
        <v>-14.86040614141291</v>
      </c>
      <c r="Y40" s="684">
        <f t="shared" si="8"/>
        <v>-1.039803227534108</v>
      </c>
    </row>
    <row r="41" spans="1:25" ht="21.75">
      <c r="A41" s="652" t="s">
        <v>416</v>
      </c>
      <c r="B41" s="653" t="s">
        <v>401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3935700.46</v>
      </c>
      <c r="N41" s="326">
        <v>3456.97</v>
      </c>
      <c r="O41" s="326">
        <v>933684.97</v>
      </c>
      <c r="P41" s="327">
        <v>0</v>
      </c>
      <c r="Q41" s="324">
        <f t="shared" si="4"/>
        <v>4872842.4</v>
      </c>
      <c r="R41" s="330">
        <v>478210.5199999996</v>
      </c>
      <c r="S41" s="326">
        <v>243423.8800000002</v>
      </c>
      <c r="T41" s="326">
        <v>1316894.280000001</v>
      </c>
      <c r="U41" s="323">
        <f t="shared" si="5"/>
        <v>2038528.6800000006</v>
      </c>
      <c r="V41" s="322">
        <f t="shared" si="2"/>
        <v>6911371.080000001</v>
      </c>
      <c r="W41" s="684">
        <v>100</v>
      </c>
      <c r="X41" s="684">
        <v>100</v>
      </c>
      <c r="Y41" s="684">
        <v>100</v>
      </c>
    </row>
    <row r="42" spans="1:25" ht="21.75">
      <c r="A42" s="652" t="s">
        <v>417</v>
      </c>
      <c r="B42" s="653" t="s">
        <v>402</v>
      </c>
      <c r="C42" s="326">
        <v>0</v>
      </c>
      <c r="D42" s="326">
        <v>0</v>
      </c>
      <c r="E42" s="326">
        <v>0</v>
      </c>
      <c r="F42" s="326">
        <v>0</v>
      </c>
      <c r="G42" s="326">
        <v>0</v>
      </c>
      <c r="H42" s="326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3566576.0700000003</v>
      </c>
      <c r="N42" s="326">
        <v>12667.089999999998</v>
      </c>
      <c r="O42" s="326">
        <v>354731.46</v>
      </c>
      <c r="P42" s="327">
        <v>0</v>
      </c>
      <c r="Q42" s="324">
        <f t="shared" si="4"/>
        <v>3933974.62</v>
      </c>
      <c r="R42" s="330">
        <v>737520.32</v>
      </c>
      <c r="S42" s="326">
        <v>18185.44</v>
      </c>
      <c r="T42" s="326">
        <v>928332.22</v>
      </c>
      <c r="U42" s="323">
        <f t="shared" si="5"/>
        <v>1684037.98</v>
      </c>
      <c r="V42" s="322">
        <f t="shared" si="2"/>
        <v>5618012.6</v>
      </c>
      <c r="W42" s="684">
        <v>100</v>
      </c>
      <c r="X42" s="684">
        <v>100</v>
      </c>
      <c r="Y42" s="684">
        <v>100</v>
      </c>
    </row>
    <row r="43" spans="1:25" ht="21.75">
      <c r="A43" s="94" t="s">
        <v>33</v>
      </c>
      <c r="B43" s="311"/>
      <c r="C43" s="327"/>
      <c r="D43" s="327"/>
      <c r="E43" s="327"/>
      <c r="F43" s="327"/>
      <c r="G43" s="324"/>
      <c r="H43" s="331"/>
      <c r="I43" s="327"/>
      <c r="J43" s="327"/>
      <c r="K43" s="322"/>
      <c r="L43" s="322"/>
      <c r="M43" s="327"/>
      <c r="N43" s="327"/>
      <c r="O43" s="327"/>
      <c r="P43" s="327"/>
      <c r="Q43" s="324"/>
      <c r="R43" s="331"/>
      <c r="S43" s="327"/>
      <c r="T43" s="327"/>
      <c r="U43" s="323"/>
      <c r="V43" s="322"/>
      <c r="W43" s="684"/>
      <c r="X43" s="684"/>
      <c r="Y43" s="684"/>
    </row>
    <row r="44" spans="1:25" ht="21.75">
      <c r="A44" s="198" t="s">
        <v>170</v>
      </c>
      <c r="B44" s="132" t="s">
        <v>114</v>
      </c>
      <c r="C44" s="327">
        <v>1999487</v>
      </c>
      <c r="D44" s="327">
        <v>0</v>
      </c>
      <c r="E44" s="327">
        <v>0</v>
      </c>
      <c r="F44" s="327">
        <v>1</v>
      </c>
      <c r="G44" s="324">
        <f t="shared" si="3"/>
        <v>1999488</v>
      </c>
      <c r="H44" s="326">
        <v>0</v>
      </c>
      <c r="I44" s="327">
        <v>35000</v>
      </c>
      <c r="J44" s="327">
        <v>15347.4</v>
      </c>
      <c r="K44" s="322">
        <f>SUM(H44:J44)</f>
        <v>50347.4</v>
      </c>
      <c r="L44" s="322">
        <f aca="true" t="shared" si="9" ref="L44:L54">SUM(G44+K44)</f>
        <v>2049835.4</v>
      </c>
      <c r="M44" s="327">
        <v>2256100.2899999996</v>
      </c>
      <c r="N44" s="327">
        <v>0</v>
      </c>
      <c r="O44" s="327">
        <v>0</v>
      </c>
      <c r="P44" s="327">
        <v>0</v>
      </c>
      <c r="Q44" s="324">
        <f t="shared" si="4"/>
        <v>2256100.2899999996</v>
      </c>
      <c r="R44" s="326">
        <v>940</v>
      </c>
      <c r="S44" s="327">
        <v>28000</v>
      </c>
      <c r="T44" s="327">
        <v>11444.65</v>
      </c>
      <c r="U44" s="323">
        <f t="shared" si="5"/>
        <v>40384.65</v>
      </c>
      <c r="V44" s="322">
        <f aca="true" t="shared" si="10" ref="V44:V53">SUM(Q44+U44)</f>
        <v>2296484.9399999995</v>
      </c>
      <c r="W44" s="684">
        <f>(Q44-G44)*100/G44</f>
        <v>12.833899978394447</v>
      </c>
      <c r="X44" s="684">
        <f>(U44-K44)*100/K44</f>
        <v>-19.78801288646484</v>
      </c>
      <c r="Y44" s="684">
        <f>(V44-L44)*100/L44</f>
        <v>12.032651011881226</v>
      </c>
    </row>
    <row r="45" spans="1:25" ht="21.75">
      <c r="A45" s="198" t="s">
        <v>171</v>
      </c>
      <c r="B45" s="132" t="s">
        <v>113</v>
      </c>
      <c r="C45" s="326">
        <v>3303728</v>
      </c>
      <c r="D45" s="326">
        <v>1188.02</v>
      </c>
      <c r="E45" s="326">
        <v>0</v>
      </c>
      <c r="F45" s="327">
        <v>1</v>
      </c>
      <c r="G45" s="324">
        <f t="shared" si="3"/>
        <v>3304917.02</v>
      </c>
      <c r="H45" s="326">
        <v>126874.59999999999</v>
      </c>
      <c r="I45" s="327">
        <v>429386.54</v>
      </c>
      <c r="J45" s="326">
        <v>34946.03</v>
      </c>
      <c r="K45" s="322">
        <f>SUM(H45:J45)</f>
        <v>591207.17</v>
      </c>
      <c r="L45" s="322">
        <f t="shared" si="9"/>
        <v>3896124.19</v>
      </c>
      <c r="M45" s="326">
        <v>2846467.5</v>
      </c>
      <c r="N45" s="326">
        <v>1638</v>
      </c>
      <c r="O45" s="326">
        <v>0</v>
      </c>
      <c r="P45" s="327">
        <v>2</v>
      </c>
      <c r="Q45" s="324">
        <f t="shared" si="4"/>
        <v>2848107.5</v>
      </c>
      <c r="R45" s="326">
        <v>70401.79000000001</v>
      </c>
      <c r="S45" s="327">
        <v>0</v>
      </c>
      <c r="T45" s="326">
        <v>82435.58</v>
      </c>
      <c r="U45" s="323">
        <f t="shared" si="5"/>
        <v>152837.37</v>
      </c>
      <c r="V45" s="322">
        <f>SUM(Q45+U45)</f>
        <v>3000944.87</v>
      </c>
      <c r="W45" s="684">
        <f aca="true" t="shared" si="11" ref="W45:W55">(Q45-G45)*100/G45</f>
        <v>-13.822117688146978</v>
      </c>
      <c r="X45" s="684">
        <f aca="true" t="shared" si="12" ref="X45:X55">(U45-K45)*100/K45</f>
        <v>-74.14825500171116</v>
      </c>
      <c r="Y45" s="684">
        <f aca="true" t="shared" si="13" ref="Y45:Y55">(V45-L45)*100/L45</f>
        <v>-22.976149535931498</v>
      </c>
    </row>
    <row r="46" spans="1:25" s="172" customFormat="1" ht="21.75">
      <c r="A46" s="198" t="s">
        <v>172</v>
      </c>
      <c r="B46" s="132" t="s">
        <v>392</v>
      </c>
      <c r="C46" s="326">
        <v>9716131.96</v>
      </c>
      <c r="D46" s="326">
        <v>1212346.62</v>
      </c>
      <c r="E46" s="326">
        <v>0</v>
      </c>
      <c r="F46" s="327">
        <v>19</v>
      </c>
      <c r="G46" s="324">
        <f t="shared" si="3"/>
        <v>10928497.580000002</v>
      </c>
      <c r="H46" s="326">
        <v>732518.9400000001</v>
      </c>
      <c r="I46" s="326">
        <v>0</v>
      </c>
      <c r="J46" s="326">
        <v>22450</v>
      </c>
      <c r="K46" s="322">
        <f>SUM(H46:J46)</f>
        <v>754968.9400000001</v>
      </c>
      <c r="L46" s="322">
        <f t="shared" si="9"/>
        <v>11683466.520000001</v>
      </c>
      <c r="M46" s="326">
        <v>10006762.6</v>
      </c>
      <c r="N46" s="326">
        <v>1213587.9800000002</v>
      </c>
      <c r="O46" s="326">
        <v>0</v>
      </c>
      <c r="P46" s="327">
        <v>3</v>
      </c>
      <c r="Q46" s="324">
        <f t="shared" si="4"/>
        <v>11220353.58</v>
      </c>
      <c r="R46" s="326">
        <v>593129.8999999999</v>
      </c>
      <c r="S46" s="326">
        <v>0</v>
      </c>
      <c r="T46" s="326">
        <v>25121.6</v>
      </c>
      <c r="U46" s="323">
        <f t="shared" si="5"/>
        <v>618251.4999999999</v>
      </c>
      <c r="V46" s="322">
        <f>SUM(Q46+U46)</f>
        <v>11838605.08</v>
      </c>
      <c r="W46" s="684">
        <f t="shared" si="11"/>
        <v>2.670595824023581</v>
      </c>
      <c r="X46" s="684">
        <f t="shared" si="12"/>
        <v>-18.10901518677049</v>
      </c>
      <c r="Y46" s="684">
        <f t="shared" si="13"/>
        <v>1.3278470027232863</v>
      </c>
    </row>
    <row r="47" spans="1:25" s="202" customFormat="1" ht="21.75">
      <c r="A47" s="201" t="s">
        <v>173</v>
      </c>
      <c r="B47" s="310" t="s">
        <v>108</v>
      </c>
      <c r="C47" s="326">
        <v>2950917.37</v>
      </c>
      <c r="D47" s="326">
        <v>2221.8899999999994</v>
      </c>
      <c r="E47" s="326">
        <v>0</v>
      </c>
      <c r="F47" s="326">
        <v>0</v>
      </c>
      <c r="G47" s="324">
        <f t="shared" si="3"/>
        <v>2953139.2600000002</v>
      </c>
      <c r="H47" s="326">
        <v>258385</v>
      </c>
      <c r="I47" s="326">
        <v>1850496</v>
      </c>
      <c r="J47" s="326">
        <v>2750</v>
      </c>
      <c r="K47" s="322">
        <f>SUM(H47:J47)</f>
        <v>2111631</v>
      </c>
      <c r="L47" s="322">
        <f t="shared" si="9"/>
        <v>5064770.26</v>
      </c>
      <c r="M47" s="326">
        <v>3582674.8</v>
      </c>
      <c r="N47" s="326">
        <v>5470</v>
      </c>
      <c r="O47" s="326">
        <v>0</v>
      </c>
      <c r="P47" s="326">
        <v>2</v>
      </c>
      <c r="Q47" s="324">
        <f t="shared" si="4"/>
        <v>3588146.8</v>
      </c>
      <c r="R47" s="326">
        <v>366456</v>
      </c>
      <c r="S47" s="326">
        <v>1675693.81</v>
      </c>
      <c r="T47" s="326">
        <v>6770</v>
      </c>
      <c r="U47" s="323">
        <f t="shared" si="5"/>
        <v>2048919.81</v>
      </c>
      <c r="V47" s="322">
        <f>SUM(Q47+U47)</f>
        <v>5637066.609999999</v>
      </c>
      <c r="W47" s="684">
        <f t="shared" si="11"/>
        <v>21.50279699305476</v>
      </c>
      <c r="X47" s="684">
        <f t="shared" si="12"/>
        <v>-2.9697987006252484</v>
      </c>
      <c r="Y47" s="684">
        <f t="shared" si="13"/>
        <v>11.299552015613036</v>
      </c>
    </row>
    <row r="48" spans="1:25" ht="21.75">
      <c r="A48" s="198" t="s">
        <v>174</v>
      </c>
      <c r="B48" s="132" t="s">
        <v>107</v>
      </c>
      <c r="C48" s="332">
        <v>6445176.37</v>
      </c>
      <c r="D48" s="321">
        <v>0</v>
      </c>
      <c r="E48" s="321">
        <v>0</v>
      </c>
      <c r="F48" s="321">
        <v>0</v>
      </c>
      <c r="G48" s="324">
        <f t="shared" si="3"/>
        <v>6445176.37</v>
      </c>
      <c r="H48" s="321">
        <v>122878.50999999998</v>
      </c>
      <c r="I48" s="321">
        <v>0</v>
      </c>
      <c r="J48" s="321">
        <v>0</v>
      </c>
      <c r="K48" s="322">
        <f>SUM(H48:J48)</f>
        <v>122878.50999999998</v>
      </c>
      <c r="L48" s="322">
        <f t="shared" si="9"/>
        <v>6568054.88</v>
      </c>
      <c r="M48" s="332">
        <v>6636374.8100000005</v>
      </c>
      <c r="N48" s="321">
        <v>0</v>
      </c>
      <c r="O48" s="321">
        <v>0</v>
      </c>
      <c r="P48" s="321">
        <v>2</v>
      </c>
      <c r="Q48" s="324">
        <f t="shared" si="4"/>
        <v>6636376.8100000005</v>
      </c>
      <c r="R48" s="321">
        <v>44581.990000000005</v>
      </c>
      <c r="S48" s="321">
        <v>0</v>
      </c>
      <c r="T48" s="321">
        <v>0</v>
      </c>
      <c r="U48" s="323">
        <f t="shared" si="5"/>
        <v>44581.990000000005</v>
      </c>
      <c r="V48" s="322">
        <f>SUM(Q48+U48)</f>
        <v>6680958.800000001</v>
      </c>
      <c r="W48" s="684">
        <f t="shared" si="11"/>
        <v>2.9665664525484567</v>
      </c>
      <c r="X48" s="684">
        <f t="shared" si="12"/>
        <v>-63.71864372378863</v>
      </c>
      <c r="Y48" s="684">
        <f t="shared" si="13"/>
        <v>1.7189856367339131</v>
      </c>
    </row>
    <row r="49" spans="1:25" ht="21.75">
      <c r="A49" s="198" t="s">
        <v>175</v>
      </c>
      <c r="B49" s="132" t="s">
        <v>112</v>
      </c>
      <c r="C49" s="326">
        <v>2901340.31</v>
      </c>
      <c r="D49" s="326">
        <v>61010.970000000016</v>
      </c>
      <c r="E49" s="326">
        <v>0</v>
      </c>
      <c r="F49" s="327">
        <v>1</v>
      </c>
      <c r="G49" s="324">
        <f t="shared" si="3"/>
        <v>2962352.2800000003</v>
      </c>
      <c r="H49" s="326">
        <v>1568193.54</v>
      </c>
      <c r="I49" s="327">
        <v>0</v>
      </c>
      <c r="J49" s="326">
        <v>0</v>
      </c>
      <c r="K49" s="322">
        <f aca="true" t="shared" si="14" ref="K49:K54">SUM(H49:J49)</f>
        <v>1568193.54</v>
      </c>
      <c r="L49" s="322">
        <f t="shared" si="9"/>
        <v>4530545.82</v>
      </c>
      <c r="M49" s="326">
        <v>2801727.7800000003</v>
      </c>
      <c r="N49" s="326">
        <v>61010.970000000016</v>
      </c>
      <c r="O49" s="326">
        <v>0</v>
      </c>
      <c r="P49" s="327">
        <v>1</v>
      </c>
      <c r="Q49" s="324">
        <f t="shared" si="4"/>
        <v>2862739.7500000005</v>
      </c>
      <c r="R49" s="326">
        <v>1364976.85</v>
      </c>
      <c r="S49" s="327">
        <v>0</v>
      </c>
      <c r="T49" s="326">
        <v>0</v>
      </c>
      <c r="U49" s="323">
        <f t="shared" si="5"/>
        <v>1364976.85</v>
      </c>
      <c r="V49" s="322">
        <f t="shared" si="10"/>
        <v>4227716.600000001</v>
      </c>
      <c r="W49" s="684">
        <f t="shared" si="11"/>
        <v>-3.3626159411398495</v>
      </c>
      <c r="X49" s="684">
        <f t="shared" si="12"/>
        <v>-12.958648586194274</v>
      </c>
      <c r="Y49" s="684">
        <f t="shared" si="13"/>
        <v>-6.684166368280979</v>
      </c>
    </row>
    <row r="50" spans="1:25" ht="21.75">
      <c r="A50" s="198" t="s">
        <v>176</v>
      </c>
      <c r="B50" s="132" t="s">
        <v>109</v>
      </c>
      <c r="C50" s="326">
        <v>5303620</v>
      </c>
      <c r="D50" s="326">
        <v>0</v>
      </c>
      <c r="E50" s="326">
        <v>0</v>
      </c>
      <c r="F50" s="327">
        <v>0</v>
      </c>
      <c r="G50" s="324">
        <f t="shared" si="3"/>
        <v>5303620</v>
      </c>
      <c r="H50" s="326">
        <v>439055.24</v>
      </c>
      <c r="I50" s="327">
        <v>0</v>
      </c>
      <c r="J50" s="326">
        <v>0</v>
      </c>
      <c r="K50" s="322">
        <f t="shared" si="14"/>
        <v>439055.24</v>
      </c>
      <c r="L50" s="322">
        <f t="shared" si="9"/>
        <v>5742675.24</v>
      </c>
      <c r="M50" s="326">
        <v>5010218.100000001</v>
      </c>
      <c r="N50" s="326">
        <v>0</v>
      </c>
      <c r="O50" s="326">
        <v>0</v>
      </c>
      <c r="P50" s="327">
        <v>2</v>
      </c>
      <c r="Q50" s="324">
        <f t="shared" si="4"/>
        <v>5010220.100000001</v>
      </c>
      <c r="R50" s="326">
        <v>294766.97</v>
      </c>
      <c r="S50" s="327">
        <v>0</v>
      </c>
      <c r="T50" s="326">
        <v>0</v>
      </c>
      <c r="U50" s="323">
        <f t="shared" si="5"/>
        <v>294766.97</v>
      </c>
      <c r="V50" s="322">
        <f t="shared" si="10"/>
        <v>5304987.07</v>
      </c>
      <c r="W50" s="684">
        <f t="shared" si="11"/>
        <v>-5.532068662536144</v>
      </c>
      <c r="X50" s="684">
        <f t="shared" si="12"/>
        <v>-32.863352228753726</v>
      </c>
      <c r="Y50" s="684">
        <f t="shared" si="13"/>
        <v>-7.62167720980161</v>
      </c>
    </row>
    <row r="51" spans="1:25" ht="21.75">
      <c r="A51" s="198" t="s">
        <v>177</v>
      </c>
      <c r="B51" s="132" t="s">
        <v>111</v>
      </c>
      <c r="C51" s="326">
        <v>2934296.3300000005</v>
      </c>
      <c r="D51" s="326">
        <v>0</v>
      </c>
      <c r="E51" s="326">
        <v>0</v>
      </c>
      <c r="F51" s="327">
        <v>1</v>
      </c>
      <c r="G51" s="324">
        <f t="shared" si="3"/>
        <v>2934297.3300000005</v>
      </c>
      <c r="H51" s="326">
        <v>35767</v>
      </c>
      <c r="I51" s="327">
        <v>0</v>
      </c>
      <c r="J51" s="326">
        <v>240</v>
      </c>
      <c r="K51" s="322">
        <f t="shared" si="14"/>
        <v>36007</v>
      </c>
      <c r="L51" s="322">
        <f t="shared" si="9"/>
        <v>2970304.3300000005</v>
      </c>
      <c r="M51" s="326">
        <v>2760810</v>
      </c>
      <c r="N51" s="326">
        <v>0</v>
      </c>
      <c r="O51" s="326">
        <v>0</v>
      </c>
      <c r="P51" s="327">
        <v>3</v>
      </c>
      <c r="Q51" s="324">
        <f t="shared" si="4"/>
        <v>2760813</v>
      </c>
      <c r="R51" s="326">
        <v>1605</v>
      </c>
      <c r="S51" s="327">
        <v>0</v>
      </c>
      <c r="T51" s="326">
        <v>12687.3</v>
      </c>
      <c r="U51" s="323">
        <f t="shared" si="5"/>
        <v>14292.3</v>
      </c>
      <c r="V51" s="322">
        <f t="shared" si="10"/>
        <v>2775105.3</v>
      </c>
      <c r="W51" s="684">
        <f t="shared" si="11"/>
        <v>-5.912295534140724</v>
      </c>
      <c r="X51" s="684">
        <f t="shared" si="12"/>
        <v>-60.30688477240537</v>
      </c>
      <c r="Y51" s="684">
        <f t="shared" si="13"/>
        <v>-6.5716845249995215</v>
      </c>
    </row>
    <row r="52" spans="1:25" ht="21.75">
      <c r="A52" s="198" t="s">
        <v>178</v>
      </c>
      <c r="B52" s="132" t="s">
        <v>110</v>
      </c>
      <c r="C52" s="326">
        <v>6882603.37</v>
      </c>
      <c r="D52" s="326">
        <v>374634.45000000007</v>
      </c>
      <c r="E52" s="326">
        <v>0</v>
      </c>
      <c r="F52" s="327">
        <v>0</v>
      </c>
      <c r="G52" s="324">
        <f t="shared" si="3"/>
        <v>7257237.82</v>
      </c>
      <c r="H52" s="326">
        <v>2575651.6399999997</v>
      </c>
      <c r="I52" s="327">
        <v>8000</v>
      </c>
      <c r="J52" s="326">
        <v>0</v>
      </c>
      <c r="K52" s="322">
        <f t="shared" si="14"/>
        <v>2583651.6399999997</v>
      </c>
      <c r="L52" s="322">
        <f t="shared" si="9"/>
        <v>9840889.46</v>
      </c>
      <c r="M52" s="326">
        <v>7144094.4799999995</v>
      </c>
      <c r="N52" s="326">
        <v>391778.9</v>
      </c>
      <c r="O52" s="326">
        <v>0</v>
      </c>
      <c r="P52" s="327">
        <v>1</v>
      </c>
      <c r="Q52" s="324">
        <f t="shared" si="4"/>
        <v>7535874.38</v>
      </c>
      <c r="R52" s="326">
        <v>4571575.750000001</v>
      </c>
      <c r="S52" s="327">
        <v>0</v>
      </c>
      <c r="T52" s="326">
        <v>0</v>
      </c>
      <c r="U52" s="323">
        <f t="shared" si="5"/>
        <v>4571575.750000001</v>
      </c>
      <c r="V52" s="322">
        <f t="shared" si="10"/>
        <v>12107450.13</v>
      </c>
      <c r="W52" s="684">
        <f t="shared" si="11"/>
        <v>3.839429916877102</v>
      </c>
      <c r="X52" s="684">
        <f t="shared" si="12"/>
        <v>76.94242053468173</v>
      </c>
      <c r="Y52" s="684">
        <f t="shared" si="13"/>
        <v>23.032071229057376</v>
      </c>
    </row>
    <row r="53" spans="1:25" ht="21.75">
      <c r="A53" s="198" t="s">
        <v>179</v>
      </c>
      <c r="B53" s="132" t="s">
        <v>391</v>
      </c>
      <c r="C53" s="326">
        <v>8304470.37</v>
      </c>
      <c r="D53" s="326">
        <v>12966179.450000001</v>
      </c>
      <c r="E53" s="326">
        <v>0</v>
      </c>
      <c r="F53" s="327">
        <v>8</v>
      </c>
      <c r="G53" s="324">
        <f t="shared" si="3"/>
        <v>21270657.82</v>
      </c>
      <c r="H53" s="326">
        <v>18482940.509999998</v>
      </c>
      <c r="I53" s="326">
        <v>1016165.4</v>
      </c>
      <c r="J53" s="326">
        <v>52002</v>
      </c>
      <c r="K53" s="322">
        <f t="shared" si="14"/>
        <v>19551107.909999996</v>
      </c>
      <c r="L53" s="322">
        <f t="shared" si="9"/>
        <v>40821765.73</v>
      </c>
      <c r="M53" s="326">
        <v>9180924.94</v>
      </c>
      <c r="N53" s="326">
        <v>12992548.469999997</v>
      </c>
      <c r="O53" s="326">
        <v>0</v>
      </c>
      <c r="P53" s="327">
        <v>36</v>
      </c>
      <c r="Q53" s="324">
        <f t="shared" si="4"/>
        <v>22173509.409999996</v>
      </c>
      <c r="R53" s="326">
        <v>14674783.940000001</v>
      </c>
      <c r="S53" s="326">
        <v>0</v>
      </c>
      <c r="T53" s="326">
        <v>0</v>
      </c>
      <c r="U53" s="323">
        <f t="shared" si="5"/>
        <v>14674783.940000001</v>
      </c>
      <c r="V53" s="322">
        <f t="shared" si="10"/>
        <v>36848293.349999994</v>
      </c>
      <c r="W53" s="684">
        <f t="shared" si="11"/>
        <v>4.244587062799152</v>
      </c>
      <c r="X53" s="684">
        <f t="shared" si="12"/>
        <v>-24.94142016118613</v>
      </c>
      <c r="Y53" s="684">
        <f t="shared" si="13"/>
        <v>-9.73371021302954</v>
      </c>
    </row>
    <row r="54" spans="1:25" ht="21.75">
      <c r="A54" s="198" t="s">
        <v>180</v>
      </c>
      <c r="B54" s="132" t="s">
        <v>384</v>
      </c>
      <c r="C54" s="326">
        <v>9641445.82</v>
      </c>
      <c r="D54" s="326">
        <v>17665.7</v>
      </c>
      <c r="E54" s="326">
        <v>0</v>
      </c>
      <c r="F54" s="326">
        <v>1</v>
      </c>
      <c r="G54" s="324">
        <f t="shared" si="3"/>
        <v>9659112.52</v>
      </c>
      <c r="H54" s="326">
        <v>6194363.01</v>
      </c>
      <c r="I54" s="326">
        <v>7708741.86</v>
      </c>
      <c r="J54" s="326">
        <v>40585.04</v>
      </c>
      <c r="K54" s="322">
        <f t="shared" si="14"/>
        <v>13943689.91</v>
      </c>
      <c r="L54" s="322">
        <f t="shared" si="9"/>
        <v>23602802.43</v>
      </c>
      <c r="M54" s="326">
        <v>11023517.459999999</v>
      </c>
      <c r="N54" s="326">
        <v>15282.990000000002</v>
      </c>
      <c r="O54" s="326">
        <v>0</v>
      </c>
      <c r="P54" s="326">
        <v>7</v>
      </c>
      <c r="Q54" s="324">
        <f t="shared" si="4"/>
        <v>11038807.45</v>
      </c>
      <c r="R54" s="326">
        <v>11882835.25</v>
      </c>
      <c r="S54" s="326">
        <v>5719280.3</v>
      </c>
      <c r="T54" s="326">
        <v>169339.32</v>
      </c>
      <c r="U54" s="323">
        <f t="shared" si="5"/>
        <v>17771454.87</v>
      </c>
      <c r="V54" s="322">
        <f>SUM(Q54+U54)</f>
        <v>28810262.32</v>
      </c>
      <c r="W54" s="684">
        <f t="shared" si="11"/>
        <v>14.283868493541473</v>
      </c>
      <c r="X54" s="684">
        <f t="shared" si="12"/>
        <v>27.45159268964266</v>
      </c>
      <c r="Y54" s="684">
        <f t="shared" si="13"/>
        <v>22.062888105952766</v>
      </c>
    </row>
    <row r="55" spans="1:25" ht="19.5" thickBot="1">
      <c r="A55" s="96" t="s">
        <v>27</v>
      </c>
      <c r="B55" s="96"/>
      <c r="C55" s="333">
        <f aca="true" t="shared" si="15" ref="C55:U55">SUM(C7:C54)</f>
        <v>278308947.81</v>
      </c>
      <c r="D55" s="333">
        <f t="shared" si="15"/>
        <v>26522802.619999997</v>
      </c>
      <c r="E55" s="333">
        <f t="shared" si="15"/>
        <v>3202471.7900000005</v>
      </c>
      <c r="F55" s="333">
        <f t="shared" si="15"/>
        <v>5633.4</v>
      </c>
      <c r="G55" s="333">
        <f t="shared" si="15"/>
        <v>308039855.62</v>
      </c>
      <c r="H55" s="333">
        <f t="shared" si="15"/>
        <v>353228994.30999994</v>
      </c>
      <c r="I55" s="333">
        <f t="shared" si="15"/>
        <v>28394592.41</v>
      </c>
      <c r="J55" s="333">
        <f t="shared" si="15"/>
        <v>67581281.53000002</v>
      </c>
      <c r="K55" s="333">
        <f t="shared" si="15"/>
        <v>449204868.24999994</v>
      </c>
      <c r="L55" s="333">
        <f t="shared" si="15"/>
        <v>757244723.8700001</v>
      </c>
      <c r="M55" s="333">
        <f t="shared" si="15"/>
        <v>289764032.51</v>
      </c>
      <c r="N55" s="333">
        <f t="shared" si="15"/>
        <v>24493301.489999995</v>
      </c>
      <c r="O55" s="333">
        <f t="shared" si="15"/>
        <v>8937392.781863397</v>
      </c>
      <c r="P55" s="333">
        <f t="shared" si="15"/>
        <v>148</v>
      </c>
      <c r="Q55" s="333">
        <f t="shared" si="15"/>
        <v>323194874.7818635</v>
      </c>
      <c r="R55" s="333">
        <f t="shared" si="15"/>
        <v>316171757.99</v>
      </c>
      <c r="S55" s="333">
        <f t="shared" si="15"/>
        <v>26804369.88</v>
      </c>
      <c r="T55" s="333">
        <f t="shared" si="15"/>
        <v>52958649</v>
      </c>
      <c r="U55" s="333">
        <f t="shared" si="15"/>
        <v>395934776.87</v>
      </c>
      <c r="V55" s="333">
        <f>SUM(V7:V54)</f>
        <v>719129651.6518637</v>
      </c>
      <c r="W55" s="684">
        <f t="shared" si="11"/>
        <v>4.919824134886895</v>
      </c>
      <c r="X55" s="684">
        <f t="shared" si="12"/>
        <v>-11.85875201832253</v>
      </c>
      <c r="Y55" s="684">
        <f t="shared" si="13"/>
        <v>-5.033388945035401</v>
      </c>
    </row>
    <row r="56" spans="3:12" ht="19.5" thickTop="1">
      <c r="C56" s="168"/>
      <c r="D56" s="168"/>
      <c r="E56" s="168"/>
      <c r="F56" s="168"/>
      <c r="G56" s="168"/>
      <c r="H56" s="168"/>
      <c r="I56" s="168"/>
      <c r="J56" s="168"/>
      <c r="K56" s="168"/>
      <c r="L56" s="168"/>
    </row>
    <row r="57" spans="1:25" s="54" customFormat="1" ht="24">
      <c r="A57" s="54" t="s">
        <v>62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196"/>
      <c r="O57" s="196"/>
      <c r="P57" s="196"/>
      <c r="R57" s="196"/>
      <c r="S57" s="196"/>
      <c r="T57" s="196"/>
      <c r="V57" s="196"/>
      <c r="W57" s="675"/>
      <c r="X57" s="675"/>
      <c r="Y57" s="675"/>
    </row>
    <row r="58" spans="1:25" s="54" customFormat="1" ht="24">
      <c r="A58" s="54" t="s">
        <v>78</v>
      </c>
      <c r="C58" s="55"/>
      <c r="D58" s="55"/>
      <c r="E58" s="55"/>
      <c r="F58" s="55"/>
      <c r="G58" s="55"/>
      <c r="H58" s="55"/>
      <c r="I58" s="55"/>
      <c r="J58" s="55"/>
      <c r="K58" s="55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675"/>
      <c r="X58" s="675"/>
      <c r="Y58" s="675"/>
    </row>
    <row r="59" ht="18.75">
      <c r="V59" s="151"/>
    </row>
    <row r="60" spans="3:22" ht="18.75"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09"/>
      <c r="R60" s="149"/>
      <c r="S60" s="149"/>
      <c r="T60" s="149"/>
      <c r="V60" s="196"/>
    </row>
    <row r="61" spans="3:22" ht="18.75"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96"/>
    </row>
    <row r="62" spans="13:22" ht="18.75">
      <c r="M62" s="168"/>
      <c r="N62" s="168"/>
      <c r="O62" s="168"/>
      <c r="P62" s="168"/>
      <c r="Q62" s="168"/>
      <c r="R62" s="168"/>
      <c r="S62" s="168"/>
      <c r="T62" s="168"/>
      <c r="V62" s="151"/>
    </row>
    <row r="63" spans="13:20" ht="18.75">
      <c r="M63" s="169"/>
      <c r="N63" s="169"/>
      <c r="O63" s="169"/>
      <c r="P63" s="169"/>
      <c r="Q63" s="169"/>
      <c r="R63" s="169"/>
      <c r="S63" s="169"/>
      <c r="T63" s="169"/>
    </row>
  </sheetData>
  <sheetProtection/>
  <mergeCells count="13">
    <mergeCell ref="A1:Y1"/>
    <mergeCell ref="W4:W6"/>
    <mergeCell ref="X4:X6"/>
    <mergeCell ref="Y4:Y6"/>
    <mergeCell ref="C4:L4"/>
    <mergeCell ref="C5:G5"/>
    <mergeCell ref="H5:K5"/>
    <mergeCell ref="L5:L6"/>
    <mergeCell ref="M5:Q5"/>
    <mergeCell ref="A4:B6"/>
    <mergeCell ref="R5:U5"/>
    <mergeCell ref="V5:V6"/>
    <mergeCell ref="M4:V4"/>
  </mergeCells>
  <printOptions horizontalCentered="1"/>
  <pageMargins left="0" right="0" top="0.12" bottom="1" header="0.35" footer="0.511811023622047"/>
  <pageSetup orientation="landscape" paperSize="5" scale="47" r:id="rId1"/>
  <rowBreaks count="1" manualBreakCount="1">
    <brk id="42" max="2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9">
      <selection activeCell="R25" sqref="R25"/>
    </sheetView>
  </sheetViews>
  <sheetFormatPr defaultColWidth="9.140625" defaultRowHeight="12.75"/>
  <cols>
    <col min="1" max="1" width="13.00390625" style="153" customWidth="1"/>
    <col min="2" max="2" width="8.28125" style="153" customWidth="1"/>
    <col min="3" max="14" width="9.140625" style="153" customWidth="1"/>
    <col min="15" max="15" width="11.140625" style="153" customWidth="1"/>
    <col min="16" max="16" width="10.421875" style="153" customWidth="1"/>
    <col min="17" max="17" width="33.57421875" style="153" customWidth="1"/>
    <col min="18" max="18" width="11.140625" style="153" customWidth="1"/>
    <col min="19" max="16384" width="9.140625" style="153" customWidth="1"/>
  </cols>
  <sheetData>
    <row r="1" spans="1:2" ht="24">
      <c r="A1" s="659" t="s">
        <v>65</v>
      </c>
      <c r="B1" s="153" t="s">
        <v>66</v>
      </c>
    </row>
    <row r="2" ht="24">
      <c r="A2" s="153" t="s">
        <v>67</v>
      </c>
    </row>
    <row r="3" ht="24">
      <c r="A3" s="153" t="s">
        <v>68</v>
      </c>
    </row>
    <row r="4" ht="12.75" customHeight="1"/>
    <row r="5" spans="1:17" ht="69.75" customHeight="1" hidden="1">
      <c r="A5" s="727" t="s">
        <v>389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Q5" s="660"/>
    </row>
    <row r="6" spans="1:15" ht="142.5" customHeight="1">
      <c r="A6" s="727" t="s">
        <v>456</v>
      </c>
      <c r="B6" s="727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</row>
    <row r="7" spans="1:15" ht="45.75" customHeight="1">
      <c r="A7" s="727" t="s">
        <v>431</v>
      </c>
      <c r="B7" s="727"/>
      <c r="C7" s="727"/>
      <c r="D7" s="727"/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727"/>
    </row>
    <row r="8" spans="1:15" ht="46.5" customHeight="1">
      <c r="A8" s="727" t="s">
        <v>432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</row>
    <row r="9" spans="1:15" ht="49.5" customHeight="1">
      <c r="A9" s="727" t="s">
        <v>433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</row>
    <row r="10" spans="1:15" ht="48.75" customHeight="1">
      <c r="A10" s="727" t="s">
        <v>434</v>
      </c>
      <c r="B10" s="727"/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</row>
    <row r="11" spans="1:15" ht="100.5" customHeight="1">
      <c r="A11" s="727" t="s">
        <v>460</v>
      </c>
      <c r="B11" s="727"/>
      <c r="C11" s="727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</row>
    <row r="12" spans="1:15" ht="63" customHeight="1">
      <c r="A12" s="727" t="s">
        <v>435</v>
      </c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</row>
    <row r="13" spans="1:15" ht="103.5" customHeight="1">
      <c r="A13" s="727" t="s">
        <v>447</v>
      </c>
      <c r="B13" s="727"/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</row>
    <row r="14" spans="1:15" ht="99" customHeight="1">
      <c r="A14" s="727" t="s">
        <v>455</v>
      </c>
      <c r="B14" s="727"/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</row>
    <row r="15" spans="1:15" ht="61.5" customHeight="1">
      <c r="A15" s="727" t="s">
        <v>448</v>
      </c>
      <c r="B15" s="727"/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7"/>
      <c r="O15" s="727"/>
    </row>
    <row r="16" spans="1:15" ht="63" customHeight="1">
      <c r="A16" s="727" t="s">
        <v>436</v>
      </c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</row>
    <row r="17" spans="1:15" ht="72.75" customHeight="1">
      <c r="A17" s="727" t="s">
        <v>437</v>
      </c>
      <c r="B17" s="727"/>
      <c r="C17" s="727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7"/>
    </row>
    <row r="18" spans="1:15" ht="47.25" customHeight="1">
      <c r="A18" s="727" t="s">
        <v>438</v>
      </c>
      <c r="B18" s="727"/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</row>
    <row r="19" spans="1:15" ht="47.25" customHeight="1">
      <c r="A19" s="727" t="s">
        <v>439</v>
      </c>
      <c r="B19" s="727"/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</row>
    <row r="20" spans="1:15" ht="47.25" customHeight="1">
      <c r="A20" s="727" t="s">
        <v>449</v>
      </c>
      <c r="B20" s="727"/>
      <c r="C20" s="727"/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727"/>
      <c r="O20" s="727"/>
    </row>
    <row r="21" spans="1:15" ht="63" customHeight="1">
      <c r="A21" s="727" t="s">
        <v>440</v>
      </c>
      <c r="B21" s="727"/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</row>
    <row r="22" spans="1:15" ht="72.75" customHeight="1">
      <c r="A22" s="727" t="s">
        <v>441</v>
      </c>
      <c r="B22" s="727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</row>
    <row r="23" spans="1:15" ht="50.25" customHeight="1">
      <c r="A23" s="727" t="s">
        <v>461</v>
      </c>
      <c r="B23" s="727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</row>
    <row r="24" spans="1:15" ht="108" customHeight="1">
      <c r="A24" s="727" t="s">
        <v>462</v>
      </c>
      <c r="B24" s="727"/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</row>
    <row r="25" spans="1:15" ht="96.75" customHeight="1">
      <c r="A25" s="727" t="s">
        <v>430</v>
      </c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</row>
    <row r="35" spans="1:3" ht="24" hidden="1">
      <c r="A35" s="153" t="s">
        <v>32</v>
      </c>
      <c r="C35" s="153" t="s">
        <v>190</v>
      </c>
    </row>
    <row r="36" ht="24" hidden="1">
      <c r="A36" s="153" t="s">
        <v>229</v>
      </c>
    </row>
    <row r="37" ht="24" hidden="1">
      <c r="A37" s="153" t="s">
        <v>191</v>
      </c>
    </row>
    <row r="38" ht="24" hidden="1"/>
    <row r="39" ht="24" hidden="1"/>
    <row r="40" spans="1:3" ht="24" hidden="1">
      <c r="A40" s="153" t="s">
        <v>32</v>
      </c>
      <c r="C40" s="153" t="s">
        <v>192</v>
      </c>
    </row>
    <row r="41" ht="24" hidden="1">
      <c r="A41" s="45" t="s">
        <v>193</v>
      </c>
    </row>
    <row r="42" ht="24" hidden="1">
      <c r="A42" s="45" t="s">
        <v>194</v>
      </c>
    </row>
    <row r="43" ht="24" hidden="1">
      <c r="A43" s="45"/>
    </row>
    <row r="44" spans="1:3" ht="24" hidden="1">
      <c r="A44" s="153" t="s">
        <v>32</v>
      </c>
      <c r="C44" s="153" t="s">
        <v>225</v>
      </c>
    </row>
    <row r="45" ht="24" hidden="1">
      <c r="A45" s="153" t="s">
        <v>226</v>
      </c>
    </row>
    <row r="46" spans="1:16" ht="24" hidden="1">
      <c r="A46" s="153" t="s">
        <v>224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24" hidden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24" hidden="1">
      <c r="A48" s="153" t="s">
        <v>32</v>
      </c>
      <c r="B48" s="45"/>
      <c r="C48" s="45" t="s">
        <v>227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24" hidden="1">
      <c r="A49" s="45" t="s">
        <v>228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24" hidden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24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2:16" ht="24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2:16" ht="24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6" ht="2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24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2:16" ht="24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5" ht="2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24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24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2:15" ht="24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2:15" ht="24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24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</sheetData>
  <sheetProtection/>
  <mergeCells count="21">
    <mergeCell ref="A10:O10"/>
    <mergeCell ref="A12:O12"/>
    <mergeCell ref="A17:O17"/>
    <mergeCell ref="A11:O11"/>
    <mergeCell ref="A15:O15"/>
    <mergeCell ref="A5:O5"/>
    <mergeCell ref="A6:O6"/>
    <mergeCell ref="A8:O8"/>
    <mergeCell ref="A7:O7"/>
    <mergeCell ref="A9:O9"/>
    <mergeCell ref="A25:O25"/>
    <mergeCell ref="A18:O18"/>
    <mergeCell ref="A20:O20"/>
    <mergeCell ref="A21:O21"/>
    <mergeCell ref="A22:O22"/>
    <mergeCell ref="A16:O16"/>
    <mergeCell ref="A19:O19"/>
    <mergeCell ref="A24:O24"/>
    <mergeCell ref="A13:O13"/>
    <mergeCell ref="A14:O14"/>
    <mergeCell ref="A23:O23"/>
  </mergeCells>
  <printOptions horizontalCentered="1"/>
  <pageMargins left="0.68" right="0.16" top="0.69" bottom="0.16" header="0.511811023622047" footer="0.511811023622047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PageLayoutView="0" workbookViewId="0" topLeftCell="A1">
      <selection activeCell="A16" sqref="A16:IV19"/>
    </sheetView>
  </sheetViews>
  <sheetFormatPr defaultColWidth="9.140625" defaultRowHeight="12.75"/>
  <cols>
    <col min="1" max="1" width="37.140625" style="27" bestFit="1" customWidth="1"/>
    <col min="2" max="2" width="16.140625" style="27" customWidth="1"/>
    <col min="3" max="3" width="15.8515625" style="27" customWidth="1"/>
    <col min="4" max="4" width="15.421875" style="27" customWidth="1"/>
    <col min="5" max="5" width="15.28125" style="54" customWidth="1"/>
    <col min="6" max="6" width="17.8515625" style="27" customWidth="1"/>
    <col min="7" max="7" width="15.57421875" style="27" customWidth="1"/>
    <col min="8" max="8" width="12.421875" style="607" customWidth="1"/>
    <col min="9" max="9" width="13.57421875" style="607" bestFit="1" customWidth="1"/>
    <col min="10" max="10" width="12.421875" style="607" bestFit="1" customWidth="1"/>
    <col min="11" max="16384" width="9.140625" style="27" customWidth="1"/>
  </cols>
  <sheetData>
    <row r="1" spans="1:10" s="97" customFormat="1" ht="24">
      <c r="A1" s="751" t="s">
        <v>400</v>
      </c>
      <c r="B1" s="751"/>
      <c r="C1" s="751"/>
      <c r="D1" s="751"/>
      <c r="E1" s="751"/>
      <c r="F1" s="751"/>
      <c r="G1" s="751"/>
      <c r="H1" s="751"/>
      <c r="I1" s="751"/>
      <c r="J1" s="751"/>
    </row>
    <row r="2" spans="1:10" s="97" customFormat="1" ht="24">
      <c r="A2" s="750" t="s">
        <v>59</v>
      </c>
      <c r="B2" s="750"/>
      <c r="C2" s="750"/>
      <c r="D2" s="750"/>
      <c r="E2" s="125"/>
      <c r="H2" s="606"/>
      <c r="I2" s="606"/>
      <c r="J2" s="606"/>
    </row>
    <row r="3" ht="24">
      <c r="J3" s="607" t="s">
        <v>17</v>
      </c>
    </row>
    <row r="4" spans="1:10" s="3" customFormat="1" ht="24">
      <c r="A4" s="752" t="s">
        <v>60</v>
      </c>
      <c r="B4" s="752" t="s">
        <v>385</v>
      </c>
      <c r="C4" s="752"/>
      <c r="D4" s="752"/>
      <c r="E4" s="752" t="s">
        <v>399</v>
      </c>
      <c r="F4" s="752"/>
      <c r="G4" s="752"/>
      <c r="H4" s="753" t="s">
        <v>46</v>
      </c>
      <c r="I4" s="753"/>
      <c r="J4" s="753"/>
    </row>
    <row r="5" spans="1:10" s="44" customFormat="1" ht="48">
      <c r="A5" s="754"/>
      <c r="B5" s="43" t="s">
        <v>55</v>
      </c>
      <c r="C5" s="43" t="s">
        <v>56</v>
      </c>
      <c r="D5" s="43" t="s">
        <v>18</v>
      </c>
      <c r="E5" s="15" t="s">
        <v>55</v>
      </c>
      <c r="F5" s="43" t="s">
        <v>56</v>
      </c>
      <c r="G5" s="43" t="s">
        <v>18</v>
      </c>
      <c r="H5" s="608" t="s">
        <v>57</v>
      </c>
      <c r="I5" s="608" t="s">
        <v>61</v>
      </c>
      <c r="J5" s="608" t="s">
        <v>43</v>
      </c>
    </row>
    <row r="6" spans="1:10" ht="24" hidden="1">
      <c r="A6" s="206" t="s">
        <v>36</v>
      </c>
      <c r="B6" s="209">
        <v>0</v>
      </c>
      <c r="C6" s="207">
        <v>0</v>
      </c>
      <c r="D6" s="103">
        <f>SUM(B6:C6)</f>
        <v>0</v>
      </c>
      <c r="E6" s="209">
        <v>0</v>
      </c>
      <c r="F6" s="207">
        <v>0</v>
      </c>
      <c r="G6" s="103">
        <f>SUM(E6:F6)</f>
        <v>0</v>
      </c>
      <c r="H6" s="616" t="e">
        <f aca="true" t="shared" si="0" ref="H6:J11">(E6-B6)*100/B6</f>
        <v>#DIV/0!</v>
      </c>
      <c r="I6" s="616" t="e">
        <f t="shared" si="0"/>
        <v>#DIV/0!</v>
      </c>
      <c r="J6" s="609" t="e">
        <f t="shared" si="0"/>
        <v>#DIV/0!</v>
      </c>
    </row>
    <row r="7" spans="1:10" ht="24">
      <c r="A7" s="98" t="s">
        <v>35</v>
      </c>
      <c r="B7" s="113">
        <v>0</v>
      </c>
      <c r="C7" s="103">
        <v>19278473.240000002</v>
      </c>
      <c r="D7" s="103">
        <f>SUM(B7:C7)</f>
        <v>19278473.240000002</v>
      </c>
      <c r="E7" s="113">
        <v>0</v>
      </c>
      <c r="F7" s="103">
        <v>21858240.25</v>
      </c>
      <c r="G7" s="103">
        <f>SUM(E7:F7)</f>
        <v>21858240.25</v>
      </c>
      <c r="H7" s="654">
        <v>0</v>
      </c>
      <c r="I7" s="609">
        <f t="shared" si="0"/>
        <v>13.38159395655544</v>
      </c>
      <c r="J7" s="609">
        <f t="shared" si="0"/>
        <v>13.38159395655544</v>
      </c>
    </row>
    <row r="8" spans="1:10" ht="24">
      <c r="A8" s="206" t="s">
        <v>39</v>
      </c>
      <c r="B8" s="209">
        <v>0</v>
      </c>
      <c r="C8" s="207">
        <v>19529.769999999993</v>
      </c>
      <c r="D8" s="103">
        <f>SUM(B8:C8)</f>
        <v>19529.769999999993</v>
      </c>
      <c r="E8" s="209">
        <v>0</v>
      </c>
      <c r="F8" s="207">
        <v>0</v>
      </c>
      <c r="G8" s="103">
        <f>SUM(E8:F8)</f>
        <v>0</v>
      </c>
      <c r="H8" s="654">
        <v>0</v>
      </c>
      <c r="I8" s="609">
        <f t="shared" si="0"/>
        <v>-100</v>
      </c>
      <c r="J8" s="609">
        <f t="shared" si="0"/>
        <v>-100</v>
      </c>
    </row>
    <row r="9" spans="1:10" ht="24">
      <c r="A9" s="98" t="s">
        <v>34</v>
      </c>
      <c r="B9" s="113">
        <v>12505191.189999998</v>
      </c>
      <c r="C9" s="103">
        <v>0</v>
      </c>
      <c r="D9" s="103">
        <f>SUM(B9:C9)</f>
        <v>12505191.189999998</v>
      </c>
      <c r="E9" s="113">
        <v>14678378.380000005</v>
      </c>
      <c r="F9" s="103">
        <v>0</v>
      </c>
      <c r="G9" s="103">
        <f>SUM(E9:F9)</f>
        <v>14678378.380000005</v>
      </c>
      <c r="H9" s="617">
        <f t="shared" si="0"/>
        <v>17.378280403564204</v>
      </c>
      <c r="I9" s="654">
        <v>0</v>
      </c>
      <c r="J9" s="609">
        <f t="shared" si="0"/>
        <v>17.378280403564204</v>
      </c>
    </row>
    <row r="10" spans="1:10" ht="24">
      <c r="A10" s="98" t="s">
        <v>37</v>
      </c>
      <c r="B10" s="113">
        <v>2663319.63</v>
      </c>
      <c r="C10" s="103">
        <v>0</v>
      </c>
      <c r="D10" s="103">
        <f>SUM(B10:C10)</f>
        <v>2663319.63</v>
      </c>
      <c r="E10" s="113">
        <v>2587315.31</v>
      </c>
      <c r="F10" s="103">
        <v>0</v>
      </c>
      <c r="G10" s="103">
        <f>SUM(E10:F10)</f>
        <v>2587315.31</v>
      </c>
      <c r="H10" s="617">
        <f t="shared" si="0"/>
        <v>-2.853743844481777</v>
      </c>
      <c r="I10" s="654">
        <v>0</v>
      </c>
      <c r="J10" s="609">
        <f t="shared" si="0"/>
        <v>-2.853743844481777</v>
      </c>
    </row>
    <row r="11" spans="1:10" s="97" customFormat="1" ht="24.75" thickBot="1">
      <c r="A11" s="99" t="s">
        <v>18</v>
      </c>
      <c r="B11" s="126">
        <f aca="true" t="shared" si="1" ref="B11:G11">SUM(B6:B10)</f>
        <v>15168510.819999997</v>
      </c>
      <c r="C11" s="126">
        <f t="shared" si="1"/>
        <v>19298003.01</v>
      </c>
      <c r="D11" s="126">
        <f t="shared" si="1"/>
        <v>34466513.83</v>
      </c>
      <c r="E11" s="126">
        <f t="shared" si="1"/>
        <v>17265693.690000005</v>
      </c>
      <c r="F11" s="126">
        <f t="shared" si="1"/>
        <v>21858240.25</v>
      </c>
      <c r="G11" s="126">
        <f t="shared" si="1"/>
        <v>39123933.940000005</v>
      </c>
      <c r="H11" s="610">
        <f t="shared" si="0"/>
        <v>13.825898236726239</v>
      </c>
      <c r="I11" s="610">
        <f t="shared" si="0"/>
        <v>13.266850661559712</v>
      </c>
      <c r="J11" s="610">
        <f t="shared" si="0"/>
        <v>13.512884224299302</v>
      </c>
    </row>
    <row r="12" spans="2:7" ht="24.75" thickTop="1">
      <c r="B12" s="29"/>
      <c r="C12" s="29"/>
      <c r="D12" s="29"/>
      <c r="E12" s="55"/>
      <c r="F12" s="29"/>
      <c r="G12" s="29"/>
    </row>
    <row r="13" spans="1:7" ht="24">
      <c r="A13" s="27" t="s">
        <v>62</v>
      </c>
      <c r="B13" s="29"/>
      <c r="C13" s="29"/>
      <c r="D13" s="29"/>
      <c r="E13" s="55"/>
      <c r="F13" s="29"/>
      <c r="G13" s="29"/>
    </row>
    <row r="14" spans="1:7" ht="24">
      <c r="A14" s="27" t="s">
        <v>78</v>
      </c>
      <c r="B14" s="29"/>
      <c r="C14" s="29"/>
      <c r="D14" s="29"/>
      <c r="E14" s="55"/>
      <c r="F14" s="29"/>
      <c r="G14" s="29"/>
    </row>
    <row r="15" spans="2:7" ht="24">
      <c r="B15" s="29"/>
      <c r="C15" s="29"/>
      <c r="D15" s="29"/>
      <c r="E15" s="55"/>
      <c r="F15" s="29"/>
      <c r="G15" s="29"/>
    </row>
    <row r="16" spans="2:9" ht="24">
      <c r="B16" s="29"/>
      <c r="C16" s="29"/>
      <c r="D16" s="29"/>
      <c r="E16" s="55"/>
      <c r="F16" s="592"/>
      <c r="G16" s="592"/>
      <c r="I16" s="593"/>
    </row>
    <row r="17" spans="2:7" ht="24">
      <c r="B17" s="29"/>
      <c r="C17" s="29"/>
      <c r="D17" s="29"/>
      <c r="E17" s="55"/>
      <c r="F17" s="29"/>
      <c r="G17" s="29"/>
    </row>
    <row r="18" spans="2:7" ht="24">
      <c r="B18" s="29"/>
      <c r="C18" s="29"/>
      <c r="D18" s="29"/>
      <c r="E18" s="55"/>
      <c r="F18" s="29"/>
      <c r="G18" s="29"/>
    </row>
    <row r="19" spans="2:7" ht="24">
      <c r="B19" s="29"/>
      <c r="C19" s="29"/>
      <c r="D19" s="29"/>
      <c r="E19" s="55"/>
      <c r="F19" s="29"/>
      <c r="G19" s="29"/>
    </row>
    <row r="20" spans="1:7" ht="24">
      <c r="A20" s="208"/>
      <c r="B20" s="29"/>
      <c r="C20" s="29"/>
      <c r="D20" s="142"/>
      <c r="E20" s="139"/>
      <c r="F20" s="142"/>
      <c r="G20" s="142"/>
    </row>
    <row r="21" spans="1:7" ht="24">
      <c r="A21" s="208"/>
      <c r="B21" s="29"/>
      <c r="C21" s="29"/>
      <c r="D21" s="29"/>
      <c r="E21" s="55"/>
      <c r="F21" s="29"/>
      <c r="G21" s="29"/>
    </row>
    <row r="22" spans="1:7" ht="24">
      <c r="A22" s="208"/>
      <c r="B22" s="29"/>
      <c r="C22" s="29"/>
      <c r="D22" s="29"/>
      <c r="E22" s="55"/>
      <c r="F22" s="142"/>
      <c r="G22" s="29"/>
    </row>
    <row r="23" spans="2:7" ht="24">
      <c r="B23" s="29"/>
      <c r="C23" s="29"/>
      <c r="D23" s="29"/>
      <c r="E23" s="55"/>
      <c r="F23" s="29"/>
      <c r="G23" s="29"/>
    </row>
  </sheetData>
  <sheetProtection/>
  <mergeCells count="6">
    <mergeCell ref="A2:D2"/>
    <mergeCell ref="A1:J1"/>
    <mergeCell ref="B4:D4"/>
    <mergeCell ref="E4:G4"/>
    <mergeCell ref="H4:J4"/>
    <mergeCell ref="A4:A5"/>
  </mergeCells>
  <printOptions horizontalCentered="1"/>
  <pageMargins left="0" right="0" top="0.984251968503937" bottom="0.984251968503937" header="0.5118110236220472" footer="0.5118110236220472"/>
  <pageSetup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O8" sqref="O8"/>
    </sheetView>
  </sheetViews>
  <sheetFormatPr defaultColWidth="9.140625" defaultRowHeight="12.75"/>
  <cols>
    <col min="1" max="1" width="13.00390625" style="27" customWidth="1"/>
    <col min="2" max="16384" width="9.140625" style="27" customWidth="1"/>
  </cols>
  <sheetData>
    <row r="1" spans="1:2" ht="24">
      <c r="A1" s="84" t="s">
        <v>69</v>
      </c>
      <c r="B1" s="27" t="s">
        <v>70</v>
      </c>
    </row>
    <row r="2" ht="24">
      <c r="A2" s="27" t="s">
        <v>71</v>
      </c>
    </row>
    <row r="3" ht="24">
      <c r="A3" s="27" t="s">
        <v>72</v>
      </c>
    </row>
    <row r="4" ht="13.5" customHeight="1"/>
    <row r="5" spans="1:15" s="208" customFormat="1" ht="95.25" customHeight="1" hidden="1">
      <c r="A5" s="728" t="s">
        <v>418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</row>
    <row r="6" spans="1:15" s="208" customFormat="1" ht="81.75" customHeight="1">
      <c r="A6" s="733" t="s">
        <v>419</v>
      </c>
      <c r="B6" s="733"/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</row>
  </sheetData>
  <sheetProtection/>
  <mergeCells count="2">
    <mergeCell ref="A5:O5"/>
    <mergeCell ref="A6:O6"/>
  </mergeCells>
  <printOptions horizontalCentered="1"/>
  <pageMargins left="0.69" right="0.16" top="0.69" bottom="0.16" header="0.511811023622047" footer="0.511811023622047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31" zoomScalePageLayoutView="0" workbookViewId="0" topLeftCell="A1">
      <pane xSplit="3" ySplit="3" topLeftCell="D19" activePane="bottomRight" state="frozen"/>
      <selection pane="topLeft" activeCell="D38" sqref="D38:G60"/>
      <selection pane="topRight" activeCell="D38" sqref="D38:G60"/>
      <selection pane="bottomLeft" activeCell="D38" sqref="D38:G60"/>
      <selection pane="bottomRight" activeCell="D38" sqref="D38:G60"/>
    </sheetView>
  </sheetViews>
  <sheetFormatPr defaultColWidth="9.140625" defaultRowHeight="12.75"/>
  <cols>
    <col min="1" max="1" width="6.00390625" style="25" customWidth="1"/>
    <col min="2" max="2" width="3.28125" style="25" bestFit="1" customWidth="1"/>
    <col min="3" max="3" width="61.421875" style="25" customWidth="1"/>
    <col min="4" max="4" width="20.140625" style="246" customWidth="1"/>
    <col min="5" max="5" width="19.140625" style="246" customWidth="1"/>
    <col min="6" max="6" width="18.00390625" style="246" customWidth="1"/>
    <col min="7" max="7" width="17.8515625" style="246" customWidth="1"/>
    <col min="8" max="8" width="23.421875" style="246" customWidth="1"/>
    <col min="9" max="9" width="15.28125" style="253" bestFit="1" customWidth="1"/>
    <col min="10" max="10" width="12.7109375" style="246" customWidth="1"/>
    <col min="11" max="11" width="28.00390625" style="247" customWidth="1"/>
    <col min="12" max="12" width="9.140625" style="25" customWidth="1"/>
    <col min="13" max="13" width="16.57421875" style="157" customWidth="1"/>
    <col min="14" max="14" width="16.140625" style="157" bestFit="1" customWidth="1"/>
    <col min="15" max="15" width="16.7109375" style="25" bestFit="1" customWidth="1"/>
    <col min="16" max="16384" width="9.140625" style="25" customWidth="1"/>
  </cols>
  <sheetData>
    <row r="1" spans="3:14" s="161" customFormat="1" ht="24">
      <c r="C1" s="160" t="s">
        <v>117</v>
      </c>
      <c r="D1" s="234"/>
      <c r="E1" s="234"/>
      <c r="F1" s="234"/>
      <c r="G1" s="234"/>
      <c r="H1" s="234"/>
      <c r="I1" s="248"/>
      <c r="J1" s="234"/>
      <c r="K1" s="235"/>
      <c r="M1" s="230"/>
      <c r="N1" s="230"/>
    </row>
    <row r="2" spans="4:14" s="161" customFormat="1" ht="24">
      <c r="D2" s="234"/>
      <c r="E2" s="234"/>
      <c r="F2" s="234"/>
      <c r="G2" s="234"/>
      <c r="H2" s="234"/>
      <c r="I2" s="248"/>
      <c r="J2" s="236"/>
      <c r="K2" s="237" t="s">
        <v>17</v>
      </c>
      <c r="M2" s="230"/>
      <c r="N2" s="230"/>
    </row>
    <row r="3" spans="2:14" s="162" customFormat="1" ht="48">
      <c r="B3" s="221"/>
      <c r="C3" s="222" t="s">
        <v>14</v>
      </c>
      <c r="D3" s="238" t="s">
        <v>0</v>
      </c>
      <c r="E3" s="238" t="s">
        <v>1</v>
      </c>
      <c r="F3" s="238" t="s">
        <v>2</v>
      </c>
      <c r="G3" s="238" t="s">
        <v>3</v>
      </c>
      <c r="H3" s="238" t="s">
        <v>11</v>
      </c>
      <c r="I3" s="249" t="s">
        <v>9</v>
      </c>
      <c r="J3" s="238" t="s">
        <v>10</v>
      </c>
      <c r="K3" s="239" t="s">
        <v>12</v>
      </c>
      <c r="M3" s="364"/>
      <c r="N3" s="364"/>
    </row>
    <row r="4" spans="2:14" s="154" customFormat="1" ht="24">
      <c r="B4" s="223"/>
      <c r="C4" s="224" t="s">
        <v>15</v>
      </c>
      <c r="D4" s="240"/>
      <c r="E4" s="240"/>
      <c r="F4" s="240"/>
      <c r="G4" s="240"/>
      <c r="H4" s="240"/>
      <c r="I4" s="250"/>
      <c r="J4" s="240"/>
      <c r="K4" s="241"/>
      <c r="M4" s="233">
        <f>SUM(M5:M9)</f>
        <v>321345415.42000014</v>
      </c>
      <c r="N4" s="233"/>
    </row>
    <row r="5" spans="1:15" s="371" customFormat="1" ht="24">
      <c r="A5" s="371">
        <v>115</v>
      </c>
      <c r="B5" s="365">
        <v>1</v>
      </c>
      <c r="C5" s="366" t="s">
        <v>246</v>
      </c>
      <c r="D5" s="367">
        <v>9717102.57</v>
      </c>
      <c r="E5" s="367">
        <v>20507.49</v>
      </c>
      <c r="F5" s="367">
        <v>1246185.83</v>
      </c>
      <c r="G5" s="367">
        <v>29697.14</v>
      </c>
      <c r="H5" s="367">
        <f>SUM(D5:G5)</f>
        <v>11013493.030000001</v>
      </c>
      <c r="I5" s="368">
        <v>65</v>
      </c>
      <c r="J5" s="369" t="s">
        <v>4</v>
      </c>
      <c r="K5" s="370">
        <f>H5/I5</f>
        <v>169438.35430769232</v>
      </c>
      <c r="M5" s="372">
        <f>+H5+H6+H7+H9</f>
        <v>319891814.14000005</v>
      </c>
      <c r="N5" s="372">
        <v>320355553.40336293</v>
      </c>
      <c r="O5" s="373">
        <f>+N5-M4</f>
        <v>-989862.0166372061</v>
      </c>
    </row>
    <row r="6" spans="1:15" s="371" customFormat="1" ht="24">
      <c r="A6" s="371">
        <v>116</v>
      </c>
      <c r="B6" s="365">
        <f>+B5+1</f>
        <v>2</v>
      </c>
      <c r="C6" s="366" t="s">
        <v>247</v>
      </c>
      <c r="D6" s="367">
        <v>7209463.18</v>
      </c>
      <c r="E6" s="367">
        <v>15215.23</v>
      </c>
      <c r="F6" s="367">
        <v>924589.47</v>
      </c>
      <c r="G6" s="367">
        <v>22033.36</v>
      </c>
      <c r="H6" s="367">
        <f aca="true" t="shared" si="0" ref="H6:H35">SUM(D6:G6)</f>
        <v>8171301.24</v>
      </c>
      <c r="I6" s="368">
        <v>50</v>
      </c>
      <c r="J6" s="369" t="s">
        <v>4</v>
      </c>
      <c r="K6" s="370">
        <f>H6/I6</f>
        <v>163426.0248</v>
      </c>
      <c r="M6" s="372">
        <v>1544753.1</v>
      </c>
      <c r="N6" s="372"/>
      <c r="O6" s="373"/>
    </row>
    <row r="7" spans="1:15" s="371" customFormat="1" ht="24">
      <c r="A7" s="371">
        <v>117</v>
      </c>
      <c r="B7" s="365">
        <f aca="true" t="shared" si="1" ref="B7:B35">+B6+1</f>
        <v>3</v>
      </c>
      <c r="C7" s="374" t="s">
        <v>248</v>
      </c>
      <c r="D7" s="367">
        <v>2821094.29</v>
      </c>
      <c r="E7" s="367">
        <v>5953.79</v>
      </c>
      <c r="F7" s="367">
        <v>361795.88</v>
      </c>
      <c r="G7" s="367">
        <v>8621.75</v>
      </c>
      <c r="H7" s="367">
        <f t="shared" si="0"/>
        <v>3197465.71</v>
      </c>
      <c r="I7" s="368">
        <v>19</v>
      </c>
      <c r="J7" s="369" t="s">
        <v>4</v>
      </c>
      <c r="K7" s="370">
        <f aca="true" t="shared" si="2" ref="K7:K36">H7/I7</f>
        <v>168287.66894736842</v>
      </c>
      <c r="M7" s="372">
        <v>-120349.71</v>
      </c>
      <c r="N7" s="372"/>
      <c r="O7" s="373"/>
    </row>
    <row r="8" spans="1:15" s="371" customFormat="1" ht="24">
      <c r="A8" s="371">
        <v>141</v>
      </c>
      <c r="B8" s="365">
        <f t="shared" si="1"/>
        <v>4</v>
      </c>
      <c r="C8" s="374" t="s">
        <v>249</v>
      </c>
      <c r="D8" s="367">
        <f>1559025.8+25819196.13+10511759.48</f>
        <v>37889981.41</v>
      </c>
      <c r="E8" s="367">
        <f>3290.25+56894.21+51807.6</f>
        <v>111992.06</v>
      </c>
      <c r="F8" s="367">
        <f>199939.83+1468862.81+9657819.85</f>
        <v>11326622.49</v>
      </c>
      <c r="G8" s="367">
        <f>4764.65+2049882.2+71196.48</f>
        <v>2125843.33</v>
      </c>
      <c r="H8" s="367">
        <f t="shared" si="0"/>
        <v>51454439.29</v>
      </c>
      <c r="I8" s="368">
        <v>10</v>
      </c>
      <c r="J8" s="369" t="s">
        <v>4</v>
      </c>
      <c r="K8" s="370">
        <f>H8/I8</f>
        <v>5145443.929</v>
      </c>
      <c r="M8" s="372">
        <v>24979.41</v>
      </c>
      <c r="N8" s="372"/>
      <c r="O8" s="373"/>
    </row>
    <row r="9" spans="1:15" s="371" customFormat="1" ht="24">
      <c r="A9" s="371">
        <v>128</v>
      </c>
      <c r="B9" s="365">
        <f t="shared" si="1"/>
        <v>5</v>
      </c>
      <c r="C9" s="366" t="s">
        <v>250</v>
      </c>
      <c r="D9" s="367">
        <v>284790057.23</v>
      </c>
      <c r="E9" s="367">
        <v>4197714.61</v>
      </c>
      <c r="F9" s="367">
        <v>4148171.13</v>
      </c>
      <c r="G9" s="367">
        <v>4373611.19</v>
      </c>
      <c r="H9" s="367">
        <f t="shared" si="0"/>
        <v>297509554.16</v>
      </c>
      <c r="I9" s="368">
        <v>118</v>
      </c>
      <c r="J9" s="369" t="s">
        <v>4</v>
      </c>
      <c r="K9" s="370">
        <f t="shared" si="2"/>
        <v>2521267.4081355934</v>
      </c>
      <c r="M9" s="372">
        <v>4218.48</v>
      </c>
      <c r="N9" s="372"/>
      <c r="O9" s="373"/>
    </row>
    <row r="10" spans="1:15" s="371" customFormat="1" ht="24">
      <c r="A10" s="371">
        <v>148</v>
      </c>
      <c r="B10" s="365">
        <f t="shared" si="1"/>
        <v>6</v>
      </c>
      <c r="C10" s="366" t="s">
        <v>313</v>
      </c>
      <c r="D10" s="367">
        <v>3118051.58</v>
      </c>
      <c r="E10" s="367">
        <v>6580.5</v>
      </c>
      <c r="F10" s="367">
        <v>399879.65</v>
      </c>
      <c r="G10" s="367">
        <v>9529.31</v>
      </c>
      <c r="H10" s="367">
        <f t="shared" si="0"/>
        <v>3534041.04</v>
      </c>
      <c r="I10" s="368">
        <v>7</v>
      </c>
      <c r="J10" s="369" t="s">
        <v>4</v>
      </c>
      <c r="K10" s="370">
        <f t="shared" si="2"/>
        <v>504863.0057142857</v>
      </c>
      <c r="M10" s="372"/>
      <c r="N10" s="372"/>
      <c r="O10" s="373"/>
    </row>
    <row r="11" spans="1:15" s="538" customFormat="1" ht="24">
      <c r="A11" s="538">
        <v>150</v>
      </c>
      <c r="B11" s="539">
        <f t="shared" si="1"/>
        <v>7</v>
      </c>
      <c r="C11" s="553" t="s">
        <v>329</v>
      </c>
      <c r="D11" s="541"/>
      <c r="E11" s="541"/>
      <c r="F11" s="541"/>
      <c r="G11" s="541"/>
      <c r="H11" s="541">
        <f t="shared" si="0"/>
        <v>0</v>
      </c>
      <c r="I11" s="542">
        <v>1</v>
      </c>
      <c r="J11" s="543" t="s">
        <v>4</v>
      </c>
      <c r="K11" s="544">
        <f t="shared" si="2"/>
        <v>0</v>
      </c>
      <c r="M11" s="545"/>
      <c r="N11" s="545"/>
      <c r="O11" s="546"/>
    </row>
    <row r="12" spans="1:15" s="538" customFormat="1" ht="24">
      <c r="A12" s="538">
        <v>151</v>
      </c>
      <c r="B12" s="539">
        <f t="shared" si="1"/>
        <v>8</v>
      </c>
      <c r="C12" s="553" t="s">
        <v>316</v>
      </c>
      <c r="D12" s="541"/>
      <c r="E12" s="541"/>
      <c r="F12" s="541"/>
      <c r="G12" s="541"/>
      <c r="H12" s="541">
        <f t="shared" si="0"/>
        <v>0</v>
      </c>
      <c r="I12" s="542">
        <v>1</v>
      </c>
      <c r="J12" s="543" t="s">
        <v>4</v>
      </c>
      <c r="K12" s="544">
        <f t="shared" si="2"/>
        <v>0</v>
      </c>
      <c r="M12" s="545"/>
      <c r="N12" s="545"/>
      <c r="O12" s="546"/>
    </row>
    <row r="13" spans="1:15" s="381" customFormat="1" ht="24">
      <c r="A13" s="381">
        <v>118</v>
      </c>
      <c r="B13" s="375">
        <f>+B12+1</f>
        <v>9</v>
      </c>
      <c r="C13" s="376" t="s">
        <v>289</v>
      </c>
      <c r="D13" s="377">
        <v>20238451.83</v>
      </c>
      <c r="E13" s="377">
        <v>102069.25</v>
      </c>
      <c r="F13" s="377">
        <v>4164814.52</v>
      </c>
      <c r="G13" s="377">
        <v>47451.25</v>
      </c>
      <c r="H13" s="377">
        <f t="shared" si="0"/>
        <v>24552786.849999998</v>
      </c>
      <c r="I13" s="378">
        <v>1079</v>
      </c>
      <c r="J13" s="379" t="s">
        <v>4</v>
      </c>
      <c r="K13" s="380">
        <f t="shared" si="2"/>
        <v>22755.131464318813</v>
      </c>
      <c r="M13" s="382"/>
      <c r="N13" s="382"/>
      <c r="O13" s="383"/>
    </row>
    <row r="14" spans="1:15" s="381" customFormat="1" ht="24">
      <c r="A14" s="381">
        <v>119</v>
      </c>
      <c r="B14" s="375">
        <f t="shared" si="1"/>
        <v>10</v>
      </c>
      <c r="C14" s="384" t="s">
        <v>251</v>
      </c>
      <c r="D14" s="377">
        <v>266880.68</v>
      </c>
      <c r="E14" s="377">
        <v>1345.97</v>
      </c>
      <c r="F14" s="377">
        <v>54920.63</v>
      </c>
      <c r="G14" s="377">
        <v>625.73</v>
      </c>
      <c r="H14" s="377">
        <f t="shared" si="0"/>
        <v>323773.00999999995</v>
      </c>
      <c r="I14" s="378">
        <v>1911</v>
      </c>
      <c r="J14" s="379" t="s">
        <v>5</v>
      </c>
      <c r="K14" s="380">
        <f t="shared" si="2"/>
        <v>169.42596023024592</v>
      </c>
      <c r="M14" s="382"/>
      <c r="N14" s="382"/>
      <c r="O14" s="383"/>
    </row>
    <row r="15" spans="1:15" s="381" customFormat="1" ht="24">
      <c r="A15" s="381">
        <v>120</v>
      </c>
      <c r="B15" s="375">
        <f t="shared" si="1"/>
        <v>11</v>
      </c>
      <c r="C15" s="384" t="s">
        <v>252</v>
      </c>
      <c r="D15" s="377">
        <v>1989743.76</v>
      </c>
      <c r="E15" s="377">
        <v>10034.94</v>
      </c>
      <c r="F15" s="377">
        <v>409463.82</v>
      </c>
      <c r="G15" s="377">
        <v>4665.17</v>
      </c>
      <c r="H15" s="377">
        <f t="shared" si="0"/>
        <v>2413907.69</v>
      </c>
      <c r="I15" s="378">
        <v>28</v>
      </c>
      <c r="J15" s="379" t="s">
        <v>4</v>
      </c>
      <c r="K15" s="380">
        <f t="shared" si="2"/>
        <v>86210.98892857143</v>
      </c>
      <c r="M15" s="382"/>
      <c r="N15" s="382"/>
      <c r="O15" s="383"/>
    </row>
    <row r="16" spans="1:15" s="381" customFormat="1" ht="24">
      <c r="A16" s="381">
        <v>121</v>
      </c>
      <c r="B16" s="375">
        <f t="shared" si="1"/>
        <v>12</v>
      </c>
      <c r="C16" s="384" t="s">
        <v>253</v>
      </c>
      <c r="D16" s="377">
        <v>2760732.4</v>
      </c>
      <c r="E16" s="377">
        <v>13923.289999999999</v>
      </c>
      <c r="F16" s="377">
        <v>568123.42</v>
      </c>
      <c r="G16" s="377">
        <v>6472.85</v>
      </c>
      <c r="H16" s="377">
        <f t="shared" si="0"/>
        <v>3349251.96</v>
      </c>
      <c r="I16" s="378">
        <v>83</v>
      </c>
      <c r="J16" s="379" t="s">
        <v>4</v>
      </c>
      <c r="K16" s="380">
        <f t="shared" si="2"/>
        <v>40352.433253012045</v>
      </c>
      <c r="M16" s="382"/>
      <c r="N16" s="382"/>
      <c r="O16" s="383"/>
    </row>
    <row r="17" spans="1:15" s="381" customFormat="1" ht="24">
      <c r="A17" s="381">
        <v>122</v>
      </c>
      <c r="B17" s="375">
        <f t="shared" si="1"/>
        <v>13</v>
      </c>
      <c r="C17" s="384" t="s">
        <v>319</v>
      </c>
      <c r="D17" s="377">
        <v>29653409.26</v>
      </c>
      <c r="E17" s="377">
        <v>149552.01</v>
      </c>
      <c r="F17" s="377">
        <v>6102292.35</v>
      </c>
      <c r="G17" s="377">
        <v>69525.65</v>
      </c>
      <c r="H17" s="377">
        <f t="shared" si="0"/>
        <v>35974779.27</v>
      </c>
      <c r="I17" s="378">
        <v>9</v>
      </c>
      <c r="J17" s="379" t="s">
        <v>4</v>
      </c>
      <c r="K17" s="380">
        <f t="shared" si="2"/>
        <v>3997197.6966666672</v>
      </c>
      <c r="M17" s="382"/>
      <c r="N17" s="382"/>
      <c r="O17" s="383"/>
    </row>
    <row r="18" spans="1:15" s="381" customFormat="1" ht="24">
      <c r="A18" s="381">
        <v>123</v>
      </c>
      <c r="B18" s="375">
        <f t="shared" si="1"/>
        <v>14</v>
      </c>
      <c r="C18" s="384" t="s">
        <v>254</v>
      </c>
      <c r="D18" s="377">
        <v>1574596.04</v>
      </c>
      <c r="E18" s="377">
        <v>7941.21</v>
      </c>
      <c r="F18" s="377">
        <v>324031.72</v>
      </c>
      <c r="G18" s="377">
        <v>3691.81</v>
      </c>
      <c r="H18" s="377">
        <f t="shared" si="0"/>
        <v>1910260.78</v>
      </c>
      <c r="I18" s="378">
        <v>60</v>
      </c>
      <c r="J18" s="379" t="s">
        <v>4</v>
      </c>
      <c r="K18" s="380">
        <f t="shared" si="2"/>
        <v>31837.679666666667</v>
      </c>
      <c r="M18" s="382"/>
      <c r="N18" s="382"/>
      <c r="O18" s="383"/>
    </row>
    <row r="19" spans="1:15" s="381" customFormat="1" ht="24">
      <c r="A19" s="381">
        <v>124</v>
      </c>
      <c r="B19" s="375">
        <f t="shared" si="1"/>
        <v>15</v>
      </c>
      <c r="C19" s="384" t="s">
        <v>255</v>
      </c>
      <c r="D19" s="377">
        <v>355840.91</v>
      </c>
      <c r="E19" s="377">
        <v>1794.62</v>
      </c>
      <c r="F19" s="377">
        <v>73227.51</v>
      </c>
      <c r="G19" s="377">
        <v>834.31</v>
      </c>
      <c r="H19" s="377">
        <f t="shared" si="0"/>
        <v>431697.35</v>
      </c>
      <c r="I19" s="378">
        <v>240</v>
      </c>
      <c r="J19" s="379" t="s">
        <v>4</v>
      </c>
      <c r="K19" s="380">
        <f t="shared" si="2"/>
        <v>1798.7389583333331</v>
      </c>
      <c r="M19" s="382"/>
      <c r="N19" s="382"/>
      <c r="O19" s="383"/>
    </row>
    <row r="20" spans="1:15" s="381" customFormat="1" ht="24">
      <c r="A20" s="381">
        <v>125</v>
      </c>
      <c r="B20" s="375">
        <f t="shared" si="1"/>
        <v>16</v>
      </c>
      <c r="C20" s="384" t="s">
        <v>256</v>
      </c>
      <c r="D20" s="377">
        <v>711681.82</v>
      </c>
      <c r="E20" s="377">
        <v>3589.25</v>
      </c>
      <c r="F20" s="377">
        <v>146455.02</v>
      </c>
      <c r="G20" s="377">
        <v>1668.62</v>
      </c>
      <c r="H20" s="377">
        <f t="shared" si="0"/>
        <v>863394.71</v>
      </c>
      <c r="I20" s="378">
        <v>12</v>
      </c>
      <c r="J20" s="379" t="s">
        <v>4</v>
      </c>
      <c r="K20" s="380">
        <f t="shared" si="2"/>
        <v>71949.55916666666</v>
      </c>
      <c r="M20" s="382"/>
      <c r="N20" s="382"/>
      <c r="O20" s="383"/>
    </row>
    <row r="21" spans="1:15" s="381" customFormat="1" ht="24">
      <c r="A21" s="381">
        <v>126</v>
      </c>
      <c r="B21" s="375">
        <f t="shared" si="1"/>
        <v>17</v>
      </c>
      <c r="C21" s="384" t="s">
        <v>257</v>
      </c>
      <c r="D21" s="377">
        <v>45461718.800000004</v>
      </c>
      <c r="E21" s="377">
        <v>100956.5</v>
      </c>
      <c r="F21" s="377">
        <v>786318.31</v>
      </c>
      <c r="G21" s="377">
        <v>2160824.5799999996</v>
      </c>
      <c r="H21" s="377">
        <f t="shared" si="0"/>
        <v>48509818.190000005</v>
      </c>
      <c r="I21" s="378">
        <v>16</v>
      </c>
      <c r="J21" s="379" t="s">
        <v>4</v>
      </c>
      <c r="K21" s="380">
        <f t="shared" si="2"/>
        <v>3031863.6368750003</v>
      </c>
      <c r="M21" s="382"/>
      <c r="N21" s="382"/>
      <c r="O21" s="383"/>
    </row>
    <row r="22" spans="1:15" s="381" customFormat="1" ht="24">
      <c r="A22" s="381">
        <v>153</v>
      </c>
      <c r="B22" s="375">
        <f t="shared" si="1"/>
        <v>18</v>
      </c>
      <c r="C22" s="384" t="s">
        <v>317</v>
      </c>
      <c r="D22" s="377">
        <v>29653409.26</v>
      </c>
      <c r="E22" s="377">
        <v>149552.01</v>
      </c>
      <c r="F22" s="377">
        <v>6102292.35</v>
      </c>
      <c r="G22" s="377">
        <v>69525.65</v>
      </c>
      <c r="H22" s="377">
        <f t="shared" si="0"/>
        <v>35974779.27</v>
      </c>
      <c r="I22" s="378">
        <v>1</v>
      </c>
      <c r="J22" s="379" t="s">
        <v>89</v>
      </c>
      <c r="K22" s="380">
        <f t="shared" si="2"/>
        <v>35974779.27</v>
      </c>
      <c r="M22" s="382"/>
      <c r="N22" s="382"/>
      <c r="O22" s="383"/>
    </row>
    <row r="23" spans="1:15" s="391" customFormat="1" ht="24">
      <c r="A23" s="391">
        <v>129</v>
      </c>
      <c r="B23" s="385">
        <f>+B22+1</f>
        <v>19</v>
      </c>
      <c r="C23" s="386" t="s">
        <v>258</v>
      </c>
      <c r="D23" s="387">
        <v>13151303.86</v>
      </c>
      <c r="E23" s="387">
        <v>86349.76999999999</v>
      </c>
      <c r="F23" s="387">
        <v>865706.95</v>
      </c>
      <c r="G23" s="387">
        <v>107919.18</v>
      </c>
      <c r="H23" s="387">
        <f t="shared" si="0"/>
        <v>14211279.759999998</v>
      </c>
      <c r="I23" s="388">
        <v>37</v>
      </c>
      <c r="J23" s="389" t="s">
        <v>4</v>
      </c>
      <c r="K23" s="390">
        <f t="shared" si="2"/>
        <v>384088.6421621621</v>
      </c>
      <c r="M23" s="392">
        <f>+H23+H26</f>
        <v>14211279.759999998</v>
      </c>
      <c r="N23" s="392">
        <v>14893665.32</v>
      </c>
      <c r="O23" s="393">
        <f>+M23-N23</f>
        <v>-682385.5600000024</v>
      </c>
    </row>
    <row r="24" spans="1:15" s="400" customFormat="1" ht="24">
      <c r="A24" s="400">
        <v>136</v>
      </c>
      <c r="B24" s="394">
        <f t="shared" si="1"/>
        <v>20</v>
      </c>
      <c r="C24" s="395" t="s">
        <v>259</v>
      </c>
      <c r="D24" s="396">
        <v>15297137.930228878</v>
      </c>
      <c r="E24" s="396">
        <v>34537.51</v>
      </c>
      <c r="F24" s="396">
        <v>246791.24000000005</v>
      </c>
      <c r="G24" s="396">
        <v>129164.72</v>
      </c>
      <c r="H24" s="396">
        <f t="shared" si="0"/>
        <v>15707631.400228878</v>
      </c>
      <c r="I24" s="397">
        <v>94</v>
      </c>
      <c r="J24" s="398" t="s">
        <v>4</v>
      </c>
      <c r="K24" s="399">
        <f t="shared" si="2"/>
        <v>167102.46170456253</v>
      </c>
      <c r="M24" s="401">
        <f>+H24+H25</f>
        <v>31415262.810228877</v>
      </c>
      <c r="N24" s="401">
        <v>50681640.58563123</v>
      </c>
      <c r="O24" s="402">
        <f>+M24-N24</f>
        <v>-19266377.775402352</v>
      </c>
    </row>
    <row r="25" spans="1:15" s="400" customFormat="1" ht="24">
      <c r="A25" s="400">
        <v>142</v>
      </c>
      <c r="B25" s="394">
        <f t="shared" si="1"/>
        <v>21</v>
      </c>
      <c r="C25" s="395" t="s">
        <v>284</v>
      </c>
      <c r="D25" s="396">
        <v>15297137.93</v>
      </c>
      <c r="E25" s="396">
        <v>34537.51</v>
      </c>
      <c r="F25" s="396">
        <v>246791.24000000005</v>
      </c>
      <c r="G25" s="396">
        <v>129164.73</v>
      </c>
      <c r="H25" s="396">
        <f t="shared" si="0"/>
        <v>15707631.41</v>
      </c>
      <c r="I25" s="397">
        <v>950</v>
      </c>
      <c r="J25" s="398" t="s">
        <v>4</v>
      </c>
      <c r="K25" s="399">
        <f t="shared" si="2"/>
        <v>16534.348852631578</v>
      </c>
      <c r="M25" s="401"/>
      <c r="N25" s="401"/>
      <c r="O25" s="402"/>
    </row>
    <row r="26" spans="1:15" s="538" customFormat="1" ht="24">
      <c r="A26" s="538">
        <v>135</v>
      </c>
      <c r="B26" s="539">
        <f t="shared" si="1"/>
        <v>22</v>
      </c>
      <c r="C26" s="540" t="s">
        <v>260</v>
      </c>
      <c r="D26" s="541"/>
      <c r="E26" s="541"/>
      <c r="F26" s="541"/>
      <c r="G26" s="541"/>
      <c r="H26" s="541">
        <f t="shared" si="0"/>
        <v>0</v>
      </c>
      <c r="I26" s="542">
        <f>1+1</f>
        <v>2</v>
      </c>
      <c r="J26" s="543" t="s">
        <v>4</v>
      </c>
      <c r="K26" s="544">
        <f t="shared" si="2"/>
        <v>0</v>
      </c>
      <c r="M26" s="545"/>
      <c r="N26" s="545"/>
      <c r="O26" s="546"/>
    </row>
    <row r="27" spans="1:15" s="538" customFormat="1" ht="24">
      <c r="A27" s="538">
        <v>146</v>
      </c>
      <c r="B27" s="539">
        <f t="shared" si="1"/>
        <v>23</v>
      </c>
      <c r="C27" s="540" t="s">
        <v>312</v>
      </c>
      <c r="D27" s="541"/>
      <c r="E27" s="541"/>
      <c r="F27" s="541"/>
      <c r="G27" s="541"/>
      <c r="H27" s="541">
        <f t="shared" si="0"/>
        <v>0</v>
      </c>
      <c r="I27" s="542">
        <v>1</v>
      </c>
      <c r="J27" s="543" t="s">
        <v>4</v>
      </c>
      <c r="K27" s="544">
        <f t="shared" si="2"/>
        <v>0</v>
      </c>
      <c r="M27" s="545"/>
      <c r="N27" s="545"/>
      <c r="O27" s="546"/>
    </row>
    <row r="28" spans="1:15" s="409" customFormat="1" ht="24">
      <c r="A28" s="409">
        <v>131</v>
      </c>
      <c r="B28" s="403">
        <f>+B27+1</f>
        <v>24</v>
      </c>
      <c r="C28" s="404" t="s">
        <v>280</v>
      </c>
      <c r="D28" s="405">
        <v>5022328.42</v>
      </c>
      <c r="E28" s="405">
        <v>10799.47</v>
      </c>
      <c r="F28" s="405">
        <v>172304.41</v>
      </c>
      <c r="G28" s="405">
        <v>15919.48</v>
      </c>
      <c r="H28" s="405">
        <f t="shared" si="0"/>
        <v>5221351.78</v>
      </c>
      <c r="I28" s="406">
        <v>10</v>
      </c>
      <c r="J28" s="407" t="s">
        <v>4</v>
      </c>
      <c r="K28" s="408">
        <f t="shared" si="2"/>
        <v>522135.178</v>
      </c>
      <c r="M28" s="410">
        <f>+H28+H29+H30+H31+H32+H33</f>
        <v>27832365.568052</v>
      </c>
      <c r="N28" s="410">
        <v>27468431.479664747</v>
      </c>
      <c r="O28" s="411">
        <f>+M28-N28</f>
        <v>363934.0883872546</v>
      </c>
    </row>
    <row r="29" spans="1:15" s="409" customFormat="1" ht="24">
      <c r="A29" s="409">
        <v>132</v>
      </c>
      <c r="B29" s="403">
        <f t="shared" si="1"/>
        <v>25</v>
      </c>
      <c r="C29" s="404" t="s">
        <v>261</v>
      </c>
      <c r="D29" s="405">
        <v>1646445.61</v>
      </c>
      <c r="E29" s="405">
        <v>3540.34</v>
      </c>
      <c r="F29" s="405">
        <v>56485.72</v>
      </c>
      <c r="G29" s="405">
        <v>5218.81</v>
      </c>
      <c r="H29" s="405">
        <f t="shared" si="0"/>
        <v>1711690.4800000002</v>
      </c>
      <c r="I29" s="406">
        <v>8</v>
      </c>
      <c r="J29" s="407" t="s">
        <v>4</v>
      </c>
      <c r="K29" s="408">
        <f t="shared" si="2"/>
        <v>213961.31000000003</v>
      </c>
      <c r="M29" s="410"/>
      <c r="N29" s="410"/>
      <c r="O29" s="411"/>
    </row>
    <row r="30" spans="1:15" s="409" customFormat="1" ht="24">
      <c r="A30" s="409">
        <v>133</v>
      </c>
      <c r="B30" s="403">
        <f t="shared" si="1"/>
        <v>26</v>
      </c>
      <c r="C30" s="404" t="s">
        <v>262</v>
      </c>
      <c r="D30" s="405">
        <v>5929881.35</v>
      </c>
      <c r="E30" s="405">
        <v>12750.98</v>
      </c>
      <c r="F30" s="405">
        <v>203440.44</v>
      </c>
      <c r="G30" s="405">
        <v>18796.2</v>
      </c>
      <c r="H30" s="405">
        <f t="shared" si="0"/>
        <v>6164868.970000001</v>
      </c>
      <c r="I30" s="406">
        <v>13</v>
      </c>
      <c r="J30" s="407" t="s">
        <v>4</v>
      </c>
      <c r="K30" s="408">
        <f t="shared" si="2"/>
        <v>474220.69000000006</v>
      </c>
      <c r="M30" s="412">
        <v>25767149.7</v>
      </c>
      <c r="N30" s="410"/>
      <c r="O30" s="411"/>
    </row>
    <row r="31" spans="1:15" s="409" customFormat="1" ht="72">
      <c r="A31" s="409">
        <v>143</v>
      </c>
      <c r="B31" s="403">
        <f t="shared" si="1"/>
        <v>27</v>
      </c>
      <c r="C31" s="413" t="s">
        <v>283</v>
      </c>
      <c r="D31" s="405">
        <v>13385736.69</v>
      </c>
      <c r="E31" s="405">
        <v>28783.26</v>
      </c>
      <c r="F31" s="405">
        <v>459233.51</v>
      </c>
      <c r="G31" s="405">
        <v>42429.33</v>
      </c>
      <c r="H31" s="405">
        <f t="shared" si="0"/>
        <v>13916182.79</v>
      </c>
      <c r="I31" s="406">
        <v>16</v>
      </c>
      <c r="J31" s="407" t="s">
        <v>4</v>
      </c>
      <c r="K31" s="408">
        <f t="shared" si="2"/>
        <v>869761.424375</v>
      </c>
      <c r="M31" s="412">
        <v>45802.31</v>
      </c>
      <c r="N31" s="410"/>
      <c r="O31" s="411"/>
    </row>
    <row r="32" spans="2:15" s="538" customFormat="1" ht="24">
      <c r="B32" s="539">
        <f t="shared" si="1"/>
        <v>28</v>
      </c>
      <c r="C32" s="540" t="s">
        <v>281</v>
      </c>
      <c r="D32" s="541">
        <v>0</v>
      </c>
      <c r="E32" s="541">
        <v>0</v>
      </c>
      <c r="F32" s="541">
        <v>0</v>
      </c>
      <c r="G32" s="541">
        <v>0</v>
      </c>
      <c r="H32" s="541">
        <f t="shared" si="0"/>
        <v>0</v>
      </c>
      <c r="I32" s="542"/>
      <c r="J32" s="543" t="s">
        <v>4</v>
      </c>
      <c r="K32" s="544" t="e">
        <f t="shared" si="2"/>
        <v>#DIV/0!</v>
      </c>
      <c r="M32" s="545">
        <v>1678576.16</v>
      </c>
      <c r="N32" s="545"/>
      <c r="O32" s="546"/>
    </row>
    <row r="33" spans="1:15" s="409" customFormat="1" ht="24">
      <c r="A33" s="409">
        <v>138</v>
      </c>
      <c r="B33" s="403">
        <f t="shared" si="1"/>
        <v>29</v>
      </c>
      <c r="C33" s="404" t="s">
        <v>335</v>
      </c>
      <c r="D33" s="405">
        <v>787081.317372</v>
      </c>
      <c r="E33" s="405">
        <v>1692.4556879999998</v>
      </c>
      <c r="F33" s="405">
        <v>27002.930388</v>
      </c>
      <c r="G33" s="405">
        <v>2494.844604</v>
      </c>
      <c r="H33" s="405">
        <f t="shared" si="0"/>
        <v>818271.5480519999</v>
      </c>
      <c r="I33" s="406">
        <v>1</v>
      </c>
      <c r="J33" s="407" t="s">
        <v>4</v>
      </c>
      <c r="K33" s="408">
        <f t="shared" si="2"/>
        <v>818271.5480519999</v>
      </c>
      <c r="M33" s="412">
        <v>2010981.85</v>
      </c>
      <c r="N33" s="410"/>
      <c r="O33" s="411"/>
    </row>
    <row r="34" spans="1:15" s="420" customFormat="1" ht="24">
      <c r="A34" s="420">
        <v>130</v>
      </c>
      <c r="B34" s="414">
        <f t="shared" si="1"/>
        <v>30</v>
      </c>
      <c r="C34" s="415" t="s">
        <v>263</v>
      </c>
      <c r="D34" s="416">
        <v>18073437.29</v>
      </c>
      <c r="E34" s="416">
        <v>39825.94</v>
      </c>
      <c r="F34" s="416">
        <v>1028203.97</v>
      </c>
      <c r="G34" s="416">
        <v>1434917.540000001</v>
      </c>
      <c r="H34" s="416">
        <f t="shared" si="0"/>
        <v>20576384.740000002</v>
      </c>
      <c r="I34" s="417">
        <v>2185</v>
      </c>
      <c r="J34" s="418" t="s">
        <v>6</v>
      </c>
      <c r="K34" s="419">
        <f t="shared" si="2"/>
        <v>9417.109720823799</v>
      </c>
      <c r="M34" s="412">
        <f>+H34+M30+M31+M32+M33</f>
        <v>50078894.76</v>
      </c>
      <c r="N34" s="412">
        <v>59005020.03818637</v>
      </c>
      <c r="O34" s="421">
        <f>+M34-N34</f>
        <v>-8926125.278186373</v>
      </c>
    </row>
    <row r="35" spans="1:15" s="420" customFormat="1" ht="24">
      <c r="A35" s="420">
        <v>155</v>
      </c>
      <c r="B35" s="414">
        <f t="shared" si="1"/>
        <v>31</v>
      </c>
      <c r="C35" s="415" t="s">
        <v>330</v>
      </c>
      <c r="D35" s="416">
        <v>7745758.84</v>
      </c>
      <c r="E35" s="416">
        <v>17068.26</v>
      </c>
      <c r="F35" s="416">
        <v>440658.85</v>
      </c>
      <c r="G35" s="416">
        <v>614964.6600000003</v>
      </c>
      <c r="H35" s="416">
        <f t="shared" si="0"/>
        <v>8818450.61</v>
      </c>
      <c r="I35" s="417">
        <v>8</v>
      </c>
      <c r="J35" s="418" t="s">
        <v>4</v>
      </c>
      <c r="K35" s="419">
        <f>H35/I35</f>
        <v>1102306.32625</v>
      </c>
      <c r="M35" s="412"/>
      <c r="N35" s="412"/>
      <c r="O35" s="421"/>
    </row>
    <row r="36" spans="1:15" s="428" customFormat="1" ht="24">
      <c r="A36" s="428">
        <v>127</v>
      </c>
      <c r="B36" s="422">
        <f>+B35+1</f>
        <v>32</v>
      </c>
      <c r="C36" s="423" t="s">
        <v>264</v>
      </c>
      <c r="D36" s="424">
        <v>43993341.74</v>
      </c>
      <c r="E36" s="424">
        <v>581405.39</v>
      </c>
      <c r="F36" s="424">
        <v>5305883.38</v>
      </c>
      <c r="G36" s="424">
        <v>749080.84</v>
      </c>
      <c r="H36" s="424">
        <f>SUM(D36:G36)</f>
        <v>50629711.35000001</v>
      </c>
      <c r="I36" s="425">
        <v>1406</v>
      </c>
      <c r="J36" s="426" t="s">
        <v>97</v>
      </c>
      <c r="K36" s="427">
        <f t="shared" si="2"/>
        <v>36009.75202702703</v>
      </c>
      <c r="M36" s="429">
        <f>+H36</f>
        <v>50629711.35000001</v>
      </c>
      <c r="N36" s="429">
        <v>53373939.910000004</v>
      </c>
      <c r="O36" s="430">
        <f>+H36-N36</f>
        <v>-2744228.559999995</v>
      </c>
    </row>
    <row r="37" spans="2:15" ht="24">
      <c r="B37" s="226"/>
      <c r="C37" s="227" t="s">
        <v>16</v>
      </c>
      <c r="D37" s="431"/>
      <c r="E37" s="431"/>
      <c r="F37" s="431"/>
      <c r="G37" s="431"/>
      <c r="H37" s="431"/>
      <c r="I37" s="251"/>
      <c r="J37" s="242"/>
      <c r="K37" s="243"/>
      <c r="O37" s="432">
        <f>+H37-N37</f>
        <v>0</v>
      </c>
    </row>
    <row r="38" spans="1:15" s="439" customFormat="1" ht="24">
      <c r="A38" s="439">
        <v>100</v>
      </c>
      <c r="B38" s="433">
        <v>1</v>
      </c>
      <c r="C38" s="434" t="s">
        <v>265</v>
      </c>
      <c r="D38" s="435">
        <v>3462998.85</v>
      </c>
      <c r="E38" s="435">
        <v>58090.67</v>
      </c>
      <c r="F38" s="435">
        <v>344409.9</v>
      </c>
      <c r="G38" s="435">
        <v>68348.82</v>
      </c>
      <c r="H38" s="435">
        <f aca="true" t="shared" si="3" ref="H38:H60">SUM(D38:G38)</f>
        <v>3933848.2399999998</v>
      </c>
      <c r="I38" s="436">
        <v>18185</v>
      </c>
      <c r="J38" s="437" t="s">
        <v>7</v>
      </c>
      <c r="K38" s="438">
        <f aca="true" t="shared" si="4" ref="K38:K58">H38/I38</f>
        <v>216.32379653560625</v>
      </c>
      <c r="M38" s="440">
        <f>+H38+H39</f>
        <v>7867696.45</v>
      </c>
      <c r="N38" s="440">
        <v>8124406.667396546</v>
      </c>
      <c r="O38" s="441">
        <f>+M38-N38</f>
        <v>-256710.21739654616</v>
      </c>
    </row>
    <row r="39" spans="1:15" s="439" customFormat="1" ht="24">
      <c r="A39" s="439">
        <v>101</v>
      </c>
      <c r="B39" s="433">
        <f>+B38+1</f>
        <v>2</v>
      </c>
      <c r="C39" s="434" t="s">
        <v>266</v>
      </c>
      <c r="D39" s="435">
        <v>3462998.85</v>
      </c>
      <c r="E39" s="435">
        <v>58090.66</v>
      </c>
      <c r="F39" s="435">
        <v>344409.89</v>
      </c>
      <c r="G39" s="435">
        <v>68348.81</v>
      </c>
      <c r="H39" s="435">
        <f t="shared" si="3"/>
        <v>3933848.2100000004</v>
      </c>
      <c r="I39" s="436">
        <v>1546</v>
      </c>
      <c r="J39" s="437" t="s">
        <v>4</v>
      </c>
      <c r="K39" s="438">
        <f t="shared" si="4"/>
        <v>2544.5331241914623</v>
      </c>
      <c r="M39" s="440"/>
      <c r="N39" s="440"/>
      <c r="O39" s="441"/>
    </row>
    <row r="40" spans="1:15" s="448" customFormat="1" ht="24">
      <c r="A40" s="448">
        <v>102</v>
      </c>
      <c r="B40" s="442">
        <f aca="true" t="shared" si="5" ref="B40:B60">+B39+1</f>
        <v>3</v>
      </c>
      <c r="C40" s="443" t="s">
        <v>267</v>
      </c>
      <c r="D40" s="444">
        <v>2571671.1</v>
      </c>
      <c r="E40" s="444">
        <v>30094.65</v>
      </c>
      <c r="F40" s="444">
        <v>90279.35</v>
      </c>
      <c r="G40" s="444">
        <v>21940.84</v>
      </c>
      <c r="H40" s="444">
        <f t="shared" si="3"/>
        <v>2713985.94</v>
      </c>
      <c r="I40" s="445">
        <v>447</v>
      </c>
      <c r="J40" s="446" t="s">
        <v>6</v>
      </c>
      <c r="K40" s="447">
        <f>H40/I40</f>
        <v>6071.556912751677</v>
      </c>
      <c r="M40" s="449">
        <f>+H40+H41</f>
        <v>8594288.82</v>
      </c>
      <c r="N40" s="449">
        <v>10071305.715631222</v>
      </c>
      <c r="O40" s="450">
        <f>+M40-N40</f>
        <v>-1477016.895631222</v>
      </c>
    </row>
    <row r="41" spans="1:15" s="448" customFormat="1" ht="24">
      <c r="A41" s="448">
        <v>103</v>
      </c>
      <c r="B41" s="442">
        <f t="shared" si="5"/>
        <v>4</v>
      </c>
      <c r="C41" s="443" t="s">
        <v>268</v>
      </c>
      <c r="D41" s="444">
        <v>5571954.05</v>
      </c>
      <c r="E41" s="444">
        <v>65205.08</v>
      </c>
      <c r="F41" s="444">
        <v>195605.27</v>
      </c>
      <c r="G41" s="444">
        <v>47538.48</v>
      </c>
      <c r="H41" s="444">
        <f t="shared" si="3"/>
        <v>5880302.88</v>
      </c>
      <c r="I41" s="445">
        <v>16356</v>
      </c>
      <c r="J41" s="446" t="s">
        <v>42</v>
      </c>
      <c r="K41" s="447">
        <f t="shared" si="4"/>
        <v>359.519618488628</v>
      </c>
      <c r="M41" s="449"/>
      <c r="N41" s="449"/>
      <c r="O41" s="450"/>
    </row>
    <row r="42" spans="1:15" s="448" customFormat="1" ht="24">
      <c r="A42" s="448">
        <v>159</v>
      </c>
      <c r="B42" s="442">
        <f t="shared" si="5"/>
        <v>5</v>
      </c>
      <c r="C42" s="443" t="s">
        <v>331</v>
      </c>
      <c r="D42" s="444">
        <v>428611.85</v>
      </c>
      <c r="E42" s="444">
        <v>5015.78</v>
      </c>
      <c r="F42" s="444">
        <v>15046.56</v>
      </c>
      <c r="G42" s="444">
        <v>3656.81</v>
      </c>
      <c r="H42" s="444">
        <f t="shared" si="3"/>
        <v>452331</v>
      </c>
      <c r="I42" s="445">
        <v>1</v>
      </c>
      <c r="J42" s="446" t="s">
        <v>326</v>
      </c>
      <c r="K42" s="447">
        <f t="shared" si="4"/>
        <v>452331</v>
      </c>
      <c r="M42" s="449"/>
      <c r="N42" s="449"/>
      <c r="O42" s="450"/>
    </row>
    <row r="43" spans="1:15" s="457" customFormat="1" ht="24">
      <c r="A43" s="457">
        <v>104</v>
      </c>
      <c r="B43" s="451">
        <f>+B42+1</f>
        <v>6</v>
      </c>
      <c r="C43" s="452" t="s">
        <v>269</v>
      </c>
      <c r="D43" s="453">
        <v>2074630.45</v>
      </c>
      <c r="E43" s="453">
        <v>23025.01</v>
      </c>
      <c r="F43" s="453">
        <v>212810.31</v>
      </c>
      <c r="G43" s="453">
        <v>28778.45</v>
      </c>
      <c r="H43" s="453">
        <f t="shared" si="3"/>
        <v>2339244.22</v>
      </c>
      <c r="I43" s="454">
        <v>750</v>
      </c>
      <c r="J43" s="455" t="s">
        <v>8</v>
      </c>
      <c r="K43" s="456">
        <f t="shared" si="4"/>
        <v>3118.9922933333337</v>
      </c>
      <c r="M43" s="458"/>
      <c r="N43" s="458"/>
      <c r="O43" s="459">
        <f>+H43-N43</f>
        <v>2339244.22</v>
      </c>
    </row>
    <row r="44" spans="1:15" s="462" customFormat="1" ht="48">
      <c r="A44" s="462">
        <v>105</v>
      </c>
      <c r="B44" s="465">
        <f t="shared" si="5"/>
        <v>7</v>
      </c>
      <c r="C44" s="536" t="s">
        <v>270</v>
      </c>
      <c r="D44" s="467">
        <v>12457316.21</v>
      </c>
      <c r="E44" s="467">
        <v>47993.62</v>
      </c>
      <c r="F44" s="467">
        <v>367271.26</v>
      </c>
      <c r="G44" s="467">
        <v>5837655.96</v>
      </c>
      <c r="H44" s="467">
        <f t="shared" si="3"/>
        <v>18710237.05</v>
      </c>
      <c r="I44" s="537">
        <f>691+114+147</f>
        <v>952</v>
      </c>
      <c r="J44" s="460" t="s">
        <v>90</v>
      </c>
      <c r="K44" s="461">
        <f t="shared" si="4"/>
        <v>19653.610346638656</v>
      </c>
      <c r="M44" s="463">
        <f>+H44+H45</f>
        <v>44616719.120000005</v>
      </c>
      <c r="N44" s="463">
        <v>56314676.39529606</v>
      </c>
      <c r="O44" s="464">
        <f>+M44-N44</f>
        <v>-11697957.275296055</v>
      </c>
    </row>
    <row r="45" spans="1:15" s="462" customFormat="1" ht="24">
      <c r="A45" s="462">
        <v>106</v>
      </c>
      <c r="B45" s="465">
        <f t="shared" si="5"/>
        <v>8</v>
      </c>
      <c r="C45" s="466" t="s">
        <v>271</v>
      </c>
      <c r="D45" s="467">
        <v>17248591.67</v>
      </c>
      <c r="E45" s="467">
        <v>66452.7</v>
      </c>
      <c r="F45" s="467">
        <v>508529.45</v>
      </c>
      <c r="G45" s="467">
        <v>8082908.25</v>
      </c>
      <c r="H45" s="467">
        <f t="shared" si="3"/>
        <v>25906482.07</v>
      </c>
      <c r="I45" s="468">
        <v>1</v>
      </c>
      <c r="J45" s="469" t="s">
        <v>89</v>
      </c>
      <c r="K45" s="461">
        <f t="shared" si="4"/>
        <v>25906482.07</v>
      </c>
      <c r="M45" s="463"/>
      <c r="N45" s="463"/>
      <c r="O45" s="464"/>
    </row>
    <row r="46" spans="1:15" s="462" customFormat="1" ht="24">
      <c r="A46" s="462">
        <v>156</v>
      </c>
      <c r="B46" s="465">
        <f t="shared" si="5"/>
        <v>9</v>
      </c>
      <c r="C46" s="466" t="s">
        <v>320</v>
      </c>
      <c r="D46" s="467">
        <v>2235928.55</v>
      </c>
      <c r="E46" s="467">
        <v>8614.24</v>
      </c>
      <c r="F46" s="467">
        <v>65920.48</v>
      </c>
      <c r="G46" s="467">
        <v>1047784.4</v>
      </c>
      <c r="H46" s="467">
        <f t="shared" si="3"/>
        <v>3358247.67</v>
      </c>
      <c r="I46" s="468">
        <v>1</v>
      </c>
      <c r="J46" s="469" t="s">
        <v>4</v>
      </c>
      <c r="K46" s="461">
        <f t="shared" si="4"/>
        <v>3358247.67</v>
      </c>
      <c r="M46" s="463"/>
      <c r="N46" s="463"/>
      <c r="O46" s="464"/>
    </row>
    <row r="47" spans="1:15" s="476" customFormat="1" ht="24">
      <c r="A47" s="476">
        <v>107</v>
      </c>
      <c r="B47" s="470">
        <f>+B46+1</f>
        <v>10</v>
      </c>
      <c r="C47" s="471" t="s">
        <v>272</v>
      </c>
      <c r="D47" s="472">
        <v>10511759.47</v>
      </c>
      <c r="E47" s="472">
        <v>51807.59</v>
      </c>
      <c r="F47" s="472">
        <v>9657819.850000001</v>
      </c>
      <c r="G47" s="472">
        <v>71196.49</v>
      </c>
      <c r="H47" s="472">
        <f t="shared" si="3"/>
        <v>20292583.400000002</v>
      </c>
      <c r="I47" s="473">
        <v>1</v>
      </c>
      <c r="J47" s="474" t="s">
        <v>86</v>
      </c>
      <c r="K47" s="475">
        <f>H47/I47</f>
        <v>20292583.400000002</v>
      </c>
      <c r="M47" s="477">
        <f>+H47+H48+8177767.97+32011.01+281413.67+55411.55</f>
        <v>28839187.600000005</v>
      </c>
      <c r="N47" s="477">
        <v>28488680.66529597</v>
      </c>
      <c r="O47" s="478">
        <f>+M47-N47</f>
        <v>350506.9347040355</v>
      </c>
    </row>
    <row r="48" spans="1:15" s="554" customFormat="1" ht="24">
      <c r="A48" s="554">
        <v>135</v>
      </c>
      <c r="B48" s="555">
        <f t="shared" si="5"/>
        <v>11</v>
      </c>
      <c r="C48" s="553" t="s">
        <v>328</v>
      </c>
      <c r="D48" s="556"/>
      <c r="E48" s="556"/>
      <c r="F48" s="556"/>
      <c r="G48" s="556"/>
      <c r="H48" s="556">
        <f t="shared" si="3"/>
        <v>0</v>
      </c>
      <c r="I48" s="557">
        <v>1</v>
      </c>
      <c r="J48" s="558" t="s">
        <v>4</v>
      </c>
      <c r="K48" s="544">
        <f>H48/I48</f>
        <v>0</v>
      </c>
      <c r="M48" s="559"/>
      <c r="N48" s="559"/>
      <c r="O48" s="546"/>
    </row>
    <row r="49" spans="1:15" s="476" customFormat="1" ht="72">
      <c r="A49" s="476">
        <v>157</v>
      </c>
      <c r="B49" s="470">
        <f t="shared" si="5"/>
        <v>12</v>
      </c>
      <c r="C49" s="527" t="s">
        <v>333</v>
      </c>
      <c r="D49" s="472">
        <v>10511759.48</v>
      </c>
      <c r="E49" s="472">
        <v>51807.6</v>
      </c>
      <c r="F49" s="472">
        <v>9657819.85</v>
      </c>
      <c r="G49" s="472">
        <v>71196.48</v>
      </c>
      <c r="H49" s="472">
        <f t="shared" si="3"/>
        <v>20292583.41</v>
      </c>
      <c r="I49" s="526">
        <v>888514400</v>
      </c>
      <c r="J49" s="525" t="s">
        <v>325</v>
      </c>
      <c r="K49" s="475">
        <f>H49/I49</f>
        <v>0.0228387783135535</v>
      </c>
      <c r="M49" s="477"/>
      <c r="N49" s="477"/>
      <c r="O49" s="478"/>
    </row>
    <row r="50" spans="1:15" s="554" customFormat="1" ht="24">
      <c r="A50" s="554">
        <v>146</v>
      </c>
      <c r="B50" s="555">
        <f t="shared" si="5"/>
        <v>13</v>
      </c>
      <c r="C50" s="540" t="s">
        <v>334</v>
      </c>
      <c r="D50" s="556"/>
      <c r="E50" s="556"/>
      <c r="F50" s="556"/>
      <c r="G50" s="556"/>
      <c r="H50" s="556">
        <f t="shared" si="3"/>
        <v>0</v>
      </c>
      <c r="I50" s="560">
        <v>2</v>
      </c>
      <c r="J50" s="561" t="s">
        <v>4</v>
      </c>
      <c r="K50" s="544">
        <f>H50/I50</f>
        <v>0</v>
      </c>
      <c r="M50" s="559"/>
      <c r="N50" s="559"/>
      <c r="O50" s="546"/>
    </row>
    <row r="51" spans="1:15" s="483" customFormat="1" ht="24">
      <c r="A51" s="483">
        <v>108</v>
      </c>
      <c r="B51" s="479">
        <f>+B50+1</f>
        <v>14</v>
      </c>
      <c r="C51" s="423" t="s">
        <v>273</v>
      </c>
      <c r="D51" s="480">
        <v>1384232.37</v>
      </c>
      <c r="E51" s="480">
        <v>18420.4</v>
      </c>
      <c r="F51" s="480">
        <v>137180.77</v>
      </c>
      <c r="G51" s="480">
        <v>24394.88</v>
      </c>
      <c r="H51" s="480">
        <f t="shared" si="3"/>
        <v>1564228.42</v>
      </c>
      <c r="I51" s="481">
        <v>1</v>
      </c>
      <c r="J51" s="482" t="s">
        <v>86</v>
      </c>
      <c r="K51" s="427">
        <f t="shared" si="4"/>
        <v>1564228.42</v>
      </c>
      <c r="M51" s="484">
        <f>+H51+H52+H53</f>
        <v>3910571.07</v>
      </c>
      <c r="N51" s="484">
        <v>3515164.221765324</v>
      </c>
      <c r="O51" s="430">
        <f>+N51-M51</f>
        <v>-395406.8482346758</v>
      </c>
    </row>
    <row r="52" spans="1:15" s="483" customFormat="1" ht="24">
      <c r="A52" s="483">
        <v>139</v>
      </c>
      <c r="B52" s="479">
        <f t="shared" si="5"/>
        <v>15</v>
      </c>
      <c r="C52" s="423" t="s">
        <v>285</v>
      </c>
      <c r="D52" s="480">
        <v>1730290.46</v>
      </c>
      <c r="E52" s="480">
        <v>23025.51</v>
      </c>
      <c r="F52" s="480">
        <v>171475.97</v>
      </c>
      <c r="G52" s="480">
        <v>30493.61</v>
      </c>
      <c r="H52" s="480">
        <f t="shared" si="3"/>
        <v>1955285.55</v>
      </c>
      <c r="I52" s="481">
        <v>1</v>
      </c>
      <c r="J52" s="482" t="s">
        <v>86</v>
      </c>
      <c r="K52" s="427">
        <f>H52/I52</f>
        <v>1955285.55</v>
      </c>
      <c r="M52" s="484"/>
      <c r="N52" s="484"/>
      <c r="O52" s="430"/>
    </row>
    <row r="53" spans="1:15" s="483" customFormat="1" ht="24">
      <c r="A53" s="483">
        <v>140</v>
      </c>
      <c r="B53" s="479">
        <f t="shared" si="5"/>
        <v>16</v>
      </c>
      <c r="C53" s="423" t="s">
        <v>286</v>
      </c>
      <c r="D53" s="480">
        <v>346058.09</v>
      </c>
      <c r="E53" s="480">
        <v>4605.1</v>
      </c>
      <c r="F53" s="480">
        <v>34295.19</v>
      </c>
      <c r="G53" s="480">
        <v>6098.72</v>
      </c>
      <c r="H53" s="480">
        <f t="shared" si="3"/>
        <v>391057.1</v>
      </c>
      <c r="I53" s="481">
        <v>25</v>
      </c>
      <c r="J53" s="482" t="s">
        <v>326</v>
      </c>
      <c r="K53" s="427">
        <f>H53/I53</f>
        <v>15642.284</v>
      </c>
      <c r="M53" s="484"/>
      <c r="N53" s="484"/>
      <c r="O53" s="430"/>
    </row>
    <row r="54" spans="1:15" s="486" customFormat="1" ht="48.75" customHeight="1">
      <c r="A54" s="486">
        <v>109</v>
      </c>
      <c r="B54" s="489">
        <f t="shared" si="5"/>
        <v>17</v>
      </c>
      <c r="C54" s="534" t="s">
        <v>274</v>
      </c>
      <c r="D54" s="491">
        <v>3060387.13</v>
      </c>
      <c r="E54" s="491">
        <v>56955.91</v>
      </c>
      <c r="F54" s="491">
        <v>290097.22</v>
      </c>
      <c r="G54" s="491">
        <v>121109.57</v>
      </c>
      <c r="H54" s="491">
        <f t="shared" si="3"/>
        <v>3528549.8299999996</v>
      </c>
      <c r="I54" s="535">
        <v>57160</v>
      </c>
      <c r="J54" s="485" t="s">
        <v>87</v>
      </c>
      <c r="K54" s="524">
        <f t="shared" si="4"/>
        <v>61.73110269419173</v>
      </c>
      <c r="M54" s="487">
        <f>+H54+H55</f>
        <v>8233282.93</v>
      </c>
      <c r="N54" s="487">
        <v>11249790.225061985</v>
      </c>
      <c r="O54" s="488">
        <f>+N54-M54</f>
        <v>3016507.295061985</v>
      </c>
    </row>
    <row r="55" spans="1:15" s="486" customFormat="1" ht="24">
      <c r="A55" s="486">
        <v>110</v>
      </c>
      <c r="B55" s="489">
        <f t="shared" si="5"/>
        <v>18</v>
      </c>
      <c r="C55" s="490" t="s">
        <v>275</v>
      </c>
      <c r="D55" s="491">
        <v>4080516.18</v>
      </c>
      <c r="E55" s="491">
        <v>75941.2</v>
      </c>
      <c r="F55" s="491">
        <v>386796.29</v>
      </c>
      <c r="G55" s="491">
        <v>161479.43</v>
      </c>
      <c r="H55" s="491">
        <f t="shared" si="3"/>
        <v>4704733.1</v>
      </c>
      <c r="I55" s="492">
        <v>98942</v>
      </c>
      <c r="J55" s="493" t="s">
        <v>88</v>
      </c>
      <c r="K55" s="524">
        <f t="shared" si="4"/>
        <v>47.55041438418467</v>
      </c>
      <c r="M55" s="487"/>
      <c r="N55" s="487"/>
      <c r="O55" s="488"/>
    </row>
    <row r="56" spans="1:15" s="486" customFormat="1" ht="24">
      <c r="A56" s="486">
        <v>158</v>
      </c>
      <c r="B56" s="489">
        <f t="shared" si="5"/>
        <v>19</v>
      </c>
      <c r="C56" s="490" t="s">
        <v>332</v>
      </c>
      <c r="D56" s="491">
        <v>3060387.13</v>
      </c>
      <c r="E56" s="491">
        <v>56955.91</v>
      </c>
      <c r="F56" s="491">
        <v>290097.22</v>
      </c>
      <c r="G56" s="491">
        <v>121109.57</v>
      </c>
      <c r="H56" s="491">
        <f t="shared" si="3"/>
        <v>3528549.8299999996</v>
      </c>
      <c r="I56" s="492">
        <v>365</v>
      </c>
      <c r="J56" s="493"/>
      <c r="K56" s="524">
        <f t="shared" si="4"/>
        <v>9667.259808219176</v>
      </c>
      <c r="M56" s="487"/>
      <c r="N56" s="487"/>
      <c r="O56" s="488"/>
    </row>
    <row r="57" spans="1:15" s="499" customFormat="1" ht="24">
      <c r="A57" s="499">
        <v>114</v>
      </c>
      <c r="B57" s="494">
        <f>+B56+1</f>
        <v>20</v>
      </c>
      <c r="C57" s="495" t="s">
        <v>276</v>
      </c>
      <c r="D57" s="496">
        <v>11849338.7</v>
      </c>
      <c r="E57" s="496">
        <v>74842.27</v>
      </c>
      <c r="F57" s="496">
        <v>1168006.59</v>
      </c>
      <c r="G57" s="496">
        <v>1292151.9</v>
      </c>
      <c r="H57" s="496">
        <f t="shared" si="3"/>
        <v>14384339.459999999</v>
      </c>
      <c r="I57" s="497">
        <v>1</v>
      </c>
      <c r="J57" s="498" t="s">
        <v>98</v>
      </c>
      <c r="K57" s="523">
        <f t="shared" si="4"/>
        <v>14384339.459999999</v>
      </c>
      <c r="M57" s="500"/>
      <c r="N57" s="500">
        <v>13086567.171597704</v>
      </c>
      <c r="O57" s="501">
        <f>+H57-N57</f>
        <v>1297772.2884022947</v>
      </c>
    </row>
    <row r="58" spans="1:15" s="502" customFormat="1" ht="48">
      <c r="A58" s="502">
        <v>111</v>
      </c>
      <c r="B58" s="529">
        <f t="shared" si="5"/>
        <v>21</v>
      </c>
      <c r="C58" s="530" t="s">
        <v>277</v>
      </c>
      <c r="D58" s="531">
        <v>6112204.4</v>
      </c>
      <c r="E58" s="531">
        <v>86345.77</v>
      </c>
      <c r="F58" s="531">
        <v>586221.26</v>
      </c>
      <c r="G58" s="531">
        <v>108307.18</v>
      </c>
      <c r="H58" s="531">
        <f t="shared" si="3"/>
        <v>6893078.609999999</v>
      </c>
      <c r="I58" s="532">
        <v>10165</v>
      </c>
      <c r="J58" s="533" t="s">
        <v>99</v>
      </c>
      <c r="K58" s="522">
        <f t="shared" si="4"/>
        <v>678.1188991637973</v>
      </c>
      <c r="M58" s="503"/>
      <c r="N58" s="503">
        <v>7392487.829497125</v>
      </c>
      <c r="O58" s="504">
        <f>+H58-N58</f>
        <v>-499409.2194971256</v>
      </c>
    </row>
    <row r="59" spans="1:15" s="510" customFormat="1" ht="24">
      <c r="A59" s="510">
        <v>112</v>
      </c>
      <c r="B59" s="505">
        <f t="shared" si="5"/>
        <v>22</v>
      </c>
      <c r="C59" s="506" t="s">
        <v>278</v>
      </c>
      <c r="D59" s="507">
        <v>5292776</v>
      </c>
      <c r="E59" s="507">
        <v>51811.26</v>
      </c>
      <c r="F59" s="507">
        <v>197588.81</v>
      </c>
      <c r="G59" s="507">
        <v>128025.82</v>
      </c>
      <c r="H59" s="507">
        <f t="shared" si="3"/>
        <v>5670201.89</v>
      </c>
      <c r="I59" s="508">
        <v>94</v>
      </c>
      <c r="J59" s="509" t="s">
        <v>4</v>
      </c>
      <c r="K59" s="528">
        <f>H59/I59</f>
        <v>60321.296702127656</v>
      </c>
      <c r="M59" s="511"/>
      <c r="N59" s="511">
        <v>5466738.063698271</v>
      </c>
      <c r="O59" s="512">
        <f>+H59-N59</f>
        <v>203463.82630172838</v>
      </c>
    </row>
    <row r="60" spans="1:15" s="516" customFormat="1" ht="48">
      <c r="A60" s="516">
        <v>113</v>
      </c>
      <c r="B60" s="513">
        <f t="shared" si="5"/>
        <v>23</v>
      </c>
      <c r="C60" s="374" t="s">
        <v>279</v>
      </c>
      <c r="D60" s="514">
        <v>3581802.58</v>
      </c>
      <c r="E60" s="514">
        <v>34537.51</v>
      </c>
      <c r="F60" s="514">
        <v>319330.93</v>
      </c>
      <c r="G60" s="514">
        <v>43167.67</v>
      </c>
      <c r="H60" s="514">
        <f t="shared" si="3"/>
        <v>3978838.69</v>
      </c>
      <c r="I60" s="514">
        <f>690+1200+80+1000</f>
        <v>2970</v>
      </c>
      <c r="J60" s="515" t="s">
        <v>100</v>
      </c>
      <c r="K60" s="370">
        <f>H60/I60</f>
        <v>1339.6763265993266</v>
      </c>
      <c r="M60" s="517"/>
      <c r="N60" s="517">
        <v>3725756.3857988496</v>
      </c>
      <c r="O60" s="373">
        <f>+H60-N60</f>
        <v>253082.3042011503</v>
      </c>
    </row>
    <row r="61" spans="2:11" ht="24.75" thickBot="1">
      <c r="B61" s="229"/>
      <c r="C61" s="228" t="s">
        <v>27</v>
      </c>
      <c r="D61" s="244">
        <f>SUM(D5:D60)</f>
        <v>729578019.5676011</v>
      </c>
      <c r="E61" s="244">
        <f>SUM(E5:E60)</f>
        <v>6699652.055687998</v>
      </c>
      <c r="F61" s="244">
        <f>SUM(F5:F60)</f>
        <v>71232699.16038802</v>
      </c>
      <c r="G61" s="244">
        <f>SUM(G5:G60)</f>
        <v>29570384.174604</v>
      </c>
      <c r="H61" s="244">
        <f>SUM(H5:H60)</f>
        <v>837080754.958281</v>
      </c>
      <c r="I61" s="252"/>
      <c r="J61" s="244"/>
      <c r="K61" s="245"/>
    </row>
    <row r="62" ht="24.75" thickTop="1"/>
    <row r="63" spans="4:8" ht="24">
      <c r="D63" s="247">
        <v>729578019.5700002</v>
      </c>
      <c r="E63" s="247">
        <v>6699652.060000001</v>
      </c>
      <c r="F63" s="247">
        <v>71232699.16000001</v>
      </c>
      <c r="G63" s="247">
        <v>29570384.169999983</v>
      </c>
      <c r="H63" s="247">
        <v>837080754.9599999</v>
      </c>
    </row>
    <row r="64" spans="4:8" ht="24">
      <c r="D64" s="246">
        <f>+D61-D63</f>
        <v>-0.0023990869522094727</v>
      </c>
      <c r="E64" s="246">
        <f>+E61-E63</f>
        <v>-0.004312003031373024</v>
      </c>
      <c r="F64" s="246">
        <f>+F61-F63</f>
        <v>0.0003880113363265991</v>
      </c>
      <c r="G64" s="246">
        <f>+G61-G63</f>
        <v>0.004604015499353409</v>
      </c>
      <c r="H64" s="246">
        <f>+H61-H63</f>
        <v>-0.0017188787460327148</v>
      </c>
    </row>
  </sheetData>
  <sheetProtection/>
  <printOptions horizontalCentered="1"/>
  <pageMargins left="0.669291338582677" right="0.47244094488189" top="0.590551181102362" bottom="0.590551181102362" header="0.511811023622047" footer="0.511811023622047"/>
  <pageSetup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31" zoomScalePageLayoutView="0" workbookViewId="0" topLeftCell="A1">
      <pane xSplit="3" ySplit="3" topLeftCell="D4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51" sqref="K51"/>
    </sheetView>
  </sheetViews>
  <sheetFormatPr defaultColWidth="9.140625" defaultRowHeight="12.75"/>
  <cols>
    <col min="1" max="1" width="5.8515625" style="25" customWidth="1"/>
    <col min="2" max="2" width="3.28125" style="25" bestFit="1" customWidth="1"/>
    <col min="3" max="3" width="62.28125" style="25" customWidth="1"/>
    <col min="4" max="4" width="20.140625" style="246" customWidth="1"/>
    <col min="5" max="5" width="19.140625" style="520" customWidth="1"/>
    <col min="6" max="6" width="18.00390625" style="246" customWidth="1"/>
    <col min="7" max="7" width="17.8515625" style="246" customWidth="1"/>
    <col min="8" max="8" width="23.421875" style="246" customWidth="1"/>
    <col min="9" max="9" width="12.7109375" style="253" bestFit="1" customWidth="1"/>
    <col min="10" max="10" width="12.7109375" style="246" customWidth="1"/>
    <col min="11" max="11" width="20.7109375" style="247" customWidth="1"/>
    <col min="12" max="16384" width="9.140625" style="25" customWidth="1"/>
  </cols>
  <sheetData>
    <row r="1" spans="3:11" s="161" customFormat="1" ht="24">
      <c r="C1" s="160" t="s">
        <v>117</v>
      </c>
      <c r="D1" s="234"/>
      <c r="E1" s="518"/>
      <c r="F1" s="234"/>
      <c r="G1" s="234"/>
      <c r="H1" s="234"/>
      <c r="I1" s="248"/>
      <c r="J1" s="234"/>
      <c r="K1" s="235"/>
    </row>
    <row r="2" spans="4:11" s="161" customFormat="1" ht="24">
      <c r="D2" s="234"/>
      <c r="E2" s="518"/>
      <c r="F2" s="234"/>
      <c r="G2" s="234"/>
      <c r="H2" s="234"/>
      <c r="I2" s="248"/>
      <c r="J2" s="236"/>
      <c r="K2" s="237" t="s">
        <v>17</v>
      </c>
    </row>
    <row r="3" spans="2:11" s="162" customFormat="1" ht="48">
      <c r="B3" s="221"/>
      <c r="C3" s="222" t="s">
        <v>14</v>
      </c>
      <c r="D3" s="238" t="s">
        <v>0</v>
      </c>
      <c r="E3" s="238" t="s">
        <v>1</v>
      </c>
      <c r="F3" s="238" t="s">
        <v>2</v>
      </c>
      <c r="G3" s="238" t="s">
        <v>3</v>
      </c>
      <c r="H3" s="238" t="s">
        <v>11</v>
      </c>
      <c r="I3" s="249" t="s">
        <v>9</v>
      </c>
      <c r="J3" s="238" t="s">
        <v>10</v>
      </c>
      <c r="K3" s="239" t="s">
        <v>12</v>
      </c>
    </row>
    <row r="4" spans="1:11" s="154" customFormat="1" ht="24">
      <c r="A4" s="154" t="s">
        <v>336</v>
      </c>
      <c r="B4" s="223"/>
      <c r="C4" s="224" t="s">
        <v>15</v>
      </c>
      <c r="D4" s="240"/>
      <c r="E4" s="240"/>
      <c r="F4" s="240"/>
      <c r="G4" s="240"/>
      <c r="H4" s="240"/>
      <c r="I4" s="250"/>
      <c r="J4" s="240"/>
      <c r="K4" s="241"/>
    </row>
    <row r="5" spans="1:11" s="154" customFormat="1" ht="24">
      <c r="A5" s="154">
        <v>149</v>
      </c>
      <c r="B5" s="223">
        <v>1</v>
      </c>
      <c r="C5" s="231" t="s">
        <v>403</v>
      </c>
      <c r="D5" s="240">
        <v>11303325.51</v>
      </c>
      <c r="E5" s="240">
        <v>37661.83</v>
      </c>
      <c r="F5" s="240">
        <v>295462.07</v>
      </c>
      <c r="G5" s="240">
        <v>44389.27</v>
      </c>
      <c r="H5" s="581">
        <f>SUM(D5:G5)</f>
        <v>11680838.68</v>
      </c>
      <c r="I5" s="250">
        <v>28</v>
      </c>
      <c r="J5" s="240" t="s">
        <v>4</v>
      </c>
      <c r="K5" s="243">
        <f>H5/I5</f>
        <v>417172.81</v>
      </c>
    </row>
    <row r="6" spans="1:11" s="154" customFormat="1" ht="24">
      <c r="A6" s="154">
        <v>141</v>
      </c>
      <c r="B6" s="223">
        <f>+B5+1</f>
        <v>2</v>
      </c>
      <c r="C6" s="231" t="s">
        <v>249</v>
      </c>
      <c r="D6" s="581">
        <v>37508998.69</v>
      </c>
      <c r="E6" s="581">
        <v>119911.11</v>
      </c>
      <c r="F6" s="581">
        <v>2140101.48</v>
      </c>
      <c r="G6" s="581">
        <v>1162838.3499999999</v>
      </c>
      <c r="H6" s="581">
        <f>SUM(D6:G6)</f>
        <v>40931849.629999995</v>
      </c>
      <c r="I6" s="250">
        <f>7+13+1</f>
        <v>21</v>
      </c>
      <c r="J6" s="240" t="s">
        <v>4</v>
      </c>
      <c r="K6" s="243">
        <f>H6/I6</f>
        <v>1949135.6966666665</v>
      </c>
    </row>
    <row r="7" spans="1:11" s="154" customFormat="1" ht="24">
      <c r="A7" s="154">
        <v>128</v>
      </c>
      <c r="B7" s="223">
        <f>+B6+1</f>
        <v>3</v>
      </c>
      <c r="C7" s="225" t="s">
        <v>250</v>
      </c>
      <c r="D7" s="581">
        <v>260099499.02</v>
      </c>
      <c r="E7" s="581">
        <v>8983337.84</v>
      </c>
      <c r="F7" s="581">
        <v>2168326.72</v>
      </c>
      <c r="G7" s="581">
        <v>2704558.77</v>
      </c>
      <c r="H7" s="581">
        <f>SUM(D7:G7)</f>
        <v>273955722.35</v>
      </c>
      <c r="I7" s="250">
        <v>120</v>
      </c>
      <c r="J7" s="240" t="s">
        <v>4</v>
      </c>
      <c r="K7" s="243">
        <f>H7/I7</f>
        <v>2282964.352916667</v>
      </c>
    </row>
    <row r="8" spans="1:11" s="154" customFormat="1" ht="24">
      <c r="A8" s="154">
        <v>148</v>
      </c>
      <c r="B8" s="223">
        <f aca="true" t="shared" si="0" ref="B8:B26">+B7+1</f>
        <v>4</v>
      </c>
      <c r="C8" s="685" t="s">
        <v>407</v>
      </c>
      <c r="D8" s="581">
        <v>60550381.2</v>
      </c>
      <c r="E8" s="581">
        <v>1730722.61</v>
      </c>
      <c r="F8" s="581">
        <v>3960037.3400000003</v>
      </c>
      <c r="G8" s="581">
        <v>199087.83000000002</v>
      </c>
      <c r="H8" s="581">
        <f>SUM(D8:G8)</f>
        <v>66440228.980000004</v>
      </c>
      <c r="I8" s="250">
        <v>14</v>
      </c>
      <c r="J8" s="240" t="s">
        <v>4</v>
      </c>
      <c r="K8" s="243">
        <f>H8/I8</f>
        <v>4745730.641428572</v>
      </c>
    </row>
    <row r="9" spans="1:11" s="154" customFormat="1" ht="24">
      <c r="A9" s="154">
        <v>118</v>
      </c>
      <c r="B9" s="223">
        <f>+B8+1</f>
        <v>5</v>
      </c>
      <c r="C9" s="225" t="s">
        <v>289</v>
      </c>
      <c r="D9" s="581">
        <v>38581816.25</v>
      </c>
      <c r="E9" s="581">
        <v>1389954.68</v>
      </c>
      <c r="F9" s="581">
        <v>2969767.12</v>
      </c>
      <c r="G9" s="581">
        <v>119587.49</v>
      </c>
      <c r="H9" s="581">
        <f aca="true" t="shared" si="1" ref="H9:H17">SUM(D9:G9)</f>
        <v>43061125.54</v>
      </c>
      <c r="I9" s="250">
        <v>1158</v>
      </c>
      <c r="J9" s="240" t="s">
        <v>4</v>
      </c>
      <c r="K9" s="243">
        <f aca="true" t="shared" si="2" ref="K9:K27">H9/I9</f>
        <v>37185.77335060449</v>
      </c>
    </row>
    <row r="10" spans="1:11" s="154" customFormat="1" ht="24">
      <c r="A10" s="154">
        <v>119</v>
      </c>
      <c r="B10" s="223">
        <f t="shared" si="0"/>
        <v>6</v>
      </c>
      <c r="C10" s="231" t="s">
        <v>365</v>
      </c>
      <c r="D10" s="581">
        <v>346067.2</v>
      </c>
      <c r="E10" s="581">
        <v>12467.47</v>
      </c>
      <c r="F10" s="581">
        <v>26637.91</v>
      </c>
      <c r="G10" s="581">
        <v>1072.67</v>
      </c>
      <c r="H10" s="581">
        <f t="shared" si="1"/>
        <v>386245.24999999994</v>
      </c>
      <c r="I10" s="250">
        <v>902</v>
      </c>
      <c r="J10" s="240" t="s">
        <v>5</v>
      </c>
      <c r="K10" s="243">
        <f t="shared" si="2"/>
        <v>428.2098115299334</v>
      </c>
    </row>
    <row r="11" spans="1:11" s="154" customFormat="1" ht="24">
      <c r="A11" s="154">
        <v>120</v>
      </c>
      <c r="B11" s="223">
        <f t="shared" si="0"/>
        <v>7</v>
      </c>
      <c r="C11" s="231" t="s">
        <v>252</v>
      </c>
      <c r="D11" s="581">
        <v>2969630.71</v>
      </c>
      <c r="E11" s="581">
        <v>106984.39</v>
      </c>
      <c r="F11" s="581">
        <v>228582.08</v>
      </c>
      <c r="G11" s="581">
        <v>9204.61</v>
      </c>
      <c r="H11" s="581">
        <f t="shared" si="1"/>
        <v>3314401.79</v>
      </c>
      <c r="I11" s="250">
        <v>57</v>
      </c>
      <c r="J11" s="240" t="s">
        <v>4</v>
      </c>
      <c r="K11" s="243">
        <f t="shared" si="2"/>
        <v>58147.399824561406</v>
      </c>
    </row>
    <row r="12" spans="1:11" s="154" customFormat="1" ht="24">
      <c r="A12" s="154">
        <v>121</v>
      </c>
      <c r="B12" s="223">
        <f t="shared" si="0"/>
        <v>8</v>
      </c>
      <c r="C12" s="231" t="s">
        <v>253</v>
      </c>
      <c r="D12" s="581">
        <v>2197994.38</v>
      </c>
      <c r="E12" s="581">
        <v>79185.3</v>
      </c>
      <c r="F12" s="581">
        <v>169186.73</v>
      </c>
      <c r="G12" s="581">
        <v>6812.87</v>
      </c>
      <c r="H12" s="581">
        <f t="shared" si="1"/>
        <v>2453179.28</v>
      </c>
      <c r="I12" s="250">
        <v>80</v>
      </c>
      <c r="J12" s="240" t="s">
        <v>4</v>
      </c>
      <c r="K12" s="243">
        <f t="shared" si="2"/>
        <v>30664.740999999998</v>
      </c>
    </row>
    <row r="13" spans="1:11" s="154" customFormat="1" ht="24">
      <c r="A13" s="154">
        <v>123</v>
      </c>
      <c r="B13" s="223">
        <f>+B12+1</f>
        <v>9</v>
      </c>
      <c r="C13" s="231" t="s">
        <v>254</v>
      </c>
      <c r="D13" s="581">
        <v>336714.03</v>
      </c>
      <c r="E13" s="581">
        <v>12130.51</v>
      </c>
      <c r="F13" s="581">
        <v>25917.97</v>
      </c>
      <c r="G13" s="581">
        <v>1043.68</v>
      </c>
      <c r="H13" s="581">
        <f t="shared" si="1"/>
        <v>375806.19</v>
      </c>
      <c r="I13" s="250">
        <v>43</v>
      </c>
      <c r="J13" s="240" t="s">
        <v>4</v>
      </c>
      <c r="K13" s="243">
        <f t="shared" si="2"/>
        <v>8739.678837209301</v>
      </c>
    </row>
    <row r="14" spans="1:11" s="154" customFormat="1" ht="24">
      <c r="A14" s="154">
        <v>124</v>
      </c>
      <c r="B14" s="223">
        <f t="shared" si="0"/>
        <v>10</v>
      </c>
      <c r="C14" s="231" t="s">
        <v>255</v>
      </c>
      <c r="D14" s="581">
        <v>491041.3</v>
      </c>
      <c r="E14" s="581">
        <v>17690.34</v>
      </c>
      <c r="F14" s="581">
        <v>37797.04</v>
      </c>
      <c r="G14" s="581">
        <v>1522.01</v>
      </c>
      <c r="H14" s="581">
        <f t="shared" si="1"/>
        <v>548050.6900000001</v>
      </c>
      <c r="I14" s="250">
        <v>800</v>
      </c>
      <c r="J14" s="240" t="s">
        <v>4</v>
      </c>
      <c r="K14" s="243">
        <f t="shared" si="2"/>
        <v>685.0633625</v>
      </c>
    </row>
    <row r="15" spans="1:11" s="154" customFormat="1" ht="24">
      <c r="A15" s="154">
        <v>125</v>
      </c>
      <c r="B15" s="223">
        <f t="shared" si="0"/>
        <v>11</v>
      </c>
      <c r="C15" s="231" t="s">
        <v>256</v>
      </c>
      <c r="D15" s="581">
        <v>327360.87</v>
      </c>
      <c r="E15" s="581">
        <v>11793.55</v>
      </c>
      <c r="F15" s="581">
        <v>25198.02</v>
      </c>
      <c r="G15" s="581">
        <v>1014.69</v>
      </c>
      <c r="H15" s="581">
        <f t="shared" si="1"/>
        <v>365367.13</v>
      </c>
      <c r="I15" s="250">
        <v>6</v>
      </c>
      <c r="J15" s="240" t="s">
        <v>4</v>
      </c>
      <c r="K15" s="243">
        <f t="shared" si="2"/>
        <v>60894.52166666667</v>
      </c>
    </row>
    <row r="16" spans="1:11" s="154" customFormat="1" ht="24">
      <c r="A16" s="154">
        <v>126</v>
      </c>
      <c r="B16" s="223">
        <f t="shared" si="0"/>
        <v>12</v>
      </c>
      <c r="C16" s="231" t="s">
        <v>257</v>
      </c>
      <c r="D16" s="581">
        <v>46227518.29</v>
      </c>
      <c r="E16" s="581">
        <v>136878.99</v>
      </c>
      <c r="F16" s="581">
        <v>653937.69</v>
      </c>
      <c r="G16" s="581">
        <v>4860789.63</v>
      </c>
      <c r="H16" s="581">
        <f t="shared" si="1"/>
        <v>51879124.6</v>
      </c>
      <c r="I16" s="250">
        <v>40</v>
      </c>
      <c r="J16" s="240" t="s">
        <v>4</v>
      </c>
      <c r="K16" s="243">
        <f t="shared" si="2"/>
        <v>1296978.115</v>
      </c>
    </row>
    <row r="17" spans="1:11" s="154" customFormat="1" ht="24">
      <c r="A17" s="154">
        <v>153</v>
      </c>
      <c r="B17" s="223">
        <f t="shared" si="0"/>
        <v>13</v>
      </c>
      <c r="C17" s="231" t="s">
        <v>376</v>
      </c>
      <c r="D17" s="581">
        <v>1276707.37</v>
      </c>
      <c r="E17" s="581">
        <v>45994.87</v>
      </c>
      <c r="F17" s="581">
        <v>98272.29</v>
      </c>
      <c r="G17" s="581">
        <v>3957.26</v>
      </c>
      <c r="H17" s="581">
        <f t="shared" si="1"/>
        <v>1424931.7900000003</v>
      </c>
      <c r="I17" s="250">
        <v>1</v>
      </c>
      <c r="J17" s="240" t="s">
        <v>4</v>
      </c>
      <c r="K17" s="243">
        <f t="shared" si="2"/>
        <v>1424931.7900000003</v>
      </c>
    </row>
    <row r="18" spans="1:11" s="154" customFormat="1" ht="24">
      <c r="A18" s="154">
        <v>129</v>
      </c>
      <c r="B18" s="223">
        <f>+B17+1</f>
        <v>14</v>
      </c>
      <c r="C18" s="231" t="s">
        <v>258</v>
      </c>
      <c r="D18" s="581">
        <v>12165935.19</v>
      </c>
      <c r="E18" s="581">
        <v>92636.34</v>
      </c>
      <c r="F18" s="581">
        <v>914665.87</v>
      </c>
      <c r="G18" s="581">
        <v>93870.39</v>
      </c>
      <c r="H18" s="581">
        <f aca="true" t="shared" si="3" ref="H18:H26">SUM(D18:G18)</f>
        <v>13267107.79</v>
      </c>
      <c r="I18" s="250">
        <v>25</v>
      </c>
      <c r="J18" s="240" t="s">
        <v>4</v>
      </c>
      <c r="K18" s="243">
        <f t="shared" si="2"/>
        <v>530684.3116</v>
      </c>
    </row>
    <row r="19" spans="1:11" s="154" customFormat="1" ht="24">
      <c r="A19" s="154">
        <v>136</v>
      </c>
      <c r="B19" s="223">
        <f t="shared" si="0"/>
        <v>15</v>
      </c>
      <c r="C19" s="231" t="s">
        <v>404</v>
      </c>
      <c r="D19" s="581">
        <v>24299622.03</v>
      </c>
      <c r="E19" s="581">
        <v>78382.05</v>
      </c>
      <c r="F19" s="581">
        <v>561514.98</v>
      </c>
      <c r="G19" s="581">
        <v>235946.69</v>
      </c>
      <c r="H19" s="581">
        <f t="shared" si="3"/>
        <v>25175465.750000004</v>
      </c>
      <c r="I19" s="250">
        <v>73</v>
      </c>
      <c r="J19" s="240" t="s">
        <v>4</v>
      </c>
      <c r="K19" s="243">
        <f t="shared" si="2"/>
        <v>344869.3938356165</v>
      </c>
    </row>
    <row r="20" spans="1:11" s="154" customFormat="1" ht="24">
      <c r="A20" s="154">
        <v>131</v>
      </c>
      <c r="B20" s="223">
        <f>+B19+1</f>
        <v>16</v>
      </c>
      <c r="C20" s="231" t="s">
        <v>280</v>
      </c>
      <c r="D20" s="581">
        <v>3744883.44</v>
      </c>
      <c r="E20" s="581">
        <v>13361.15</v>
      </c>
      <c r="F20" s="581">
        <v>51126.22</v>
      </c>
      <c r="G20" s="581">
        <v>13636.74</v>
      </c>
      <c r="H20" s="581">
        <f t="shared" si="3"/>
        <v>3823007.5500000003</v>
      </c>
      <c r="I20" s="250">
        <v>8</v>
      </c>
      <c r="J20" s="240" t="s">
        <v>4</v>
      </c>
      <c r="K20" s="243">
        <f t="shared" si="2"/>
        <v>477875.94375000003</v>
      </c>
    </row>
    <row r="21" spans="1:11" s="154" customFormat="1" ht="24">
      <c r="A21" s="154">
        <v>132</v>
      </c>
      <c r="B21" s="223">
        <f t="shared" si="0"/>
        <v>17</v>
      </c>
      <c r="C21" s="231" t="s">
        <v>261</v>
      </c>
      <c r="D21" s="581">
        <v>1128458.21</v>
      </c>
      <c r="E21" s="581">
        <v>4026.16</v>
      </c>
      <c r="F21" s="581">
        <v>15406.02</v>
      </c>
      <c r="G21" s="581">
        <v>4109.24</v>
      </c>
      <c r="H21" s="581">
        <f t="shared" si="3"/>
        <v>1151999.63</v>
      </c>
      <c r="I21" s="250">
        <v>9</v>
      </c>
      <c r="J21" s="240" t="s">
        <v>4</v>
      </c>
      <c r="K21" s="243">
        <f t="shared" si="2"/>
        <v>127999.95888888888</v>
      </c>
    </row>
    <row r="22" spans="1:11" s="154" customFormat="1" ht="24">
      <c r="A22" s="154">
        <v>133</v>
      </c>
      <c r="B22" s="223">
        <f t="shared" si="0"/>
        <v>18</v>
      </c>
      <c r="C22" s="231" t="s">
        <v>262</v>
      </c>
      <c r="D22" s="581">
        <v>3188643.42</v>
      </c>
      <c r="E22" s="581">
        <v>11376.56</v>
      </c>
      <c r="F22" s="581">
        <v>43532.27</v>
      </c>
      <c r="G22" s="581">
        <v>11611.24</v>
      </c>
      <c r="H22" s="581">
        <f t="shared" si="3"/>
        <v>3255163.49</v>
      </c>
      <c r="I22" s="250">
        <v>9</v>
      </c>
      <c r="J22" s="240" t="s">
        <v>4</v>
      </c>
      <c r="K22" s="243">
        <f t="shared" si="2"/>
        <v>361684.83222222223</v>
      </c>
    </row>
    <row r="23" spans="1:11" s="154" customFormat="1" ht="72">
      <c r="A23" s="154">
        <v>143</v>
      </c>
      <c r="B23" s="223">
        <f t="shared" si="0"/>
        <v>19</v>
      </c>
      <c r="C23" s="232" t="s">
        <v>283</v>
      </c>
      <c r="D23" s="581">
        <v>9986355.84</v>
      </c>
      <c r="E23" s="581">
        <v>35629.71</v>
      </c>
      <c r="F23" s="581">
        <v>136336.59</v>
      </c>
      <c r="G23" s="581">
        <v>36364.66</v>
      </c>
      <c r="H23" s="581">
        <f t="shared" si="3"/>
        <v>10194686.8</v>
      </c>
      <c r="I23" s="250">
        <v>10</v>
      </c>
      <c r="J23" s="240" t="s">
        <v>4</v>
      </c>
      <c r="K23" s="243">
        <f t="shared" si="2"/>
        <v>1019468.68</v>
      </c>
    </row>
    <row r="24" spans="1:11" s="154" customFormat="1" ht="48">
      <c r="A24" s="154">
        <v>160</v>
      </c>
      <c r="B24" s="223">
        <f t="shared" si="0"/>
        <v>20</v>
      </c>
      <c r="C24" s="232" t="s">
        <v>377</v>
      </c>
      <c r="D24" s="581">
        <v>1235312.22</v>
      </c>
      <c r="E24" s="581">
        <v>4407.39</v>
      </c>
      <c r="F24" s="581">
        <v>16864.84</v>
      </c>
      <c r="G24" s="581">
        <v>4498.31</v>
      </c>
      <c r="H24" s="581">
        <f t="shared" si="3"/>
        <v>1261082.76</v>
      </c>
      <c r="I24" s="250">
        <v>1</v>
      </c>
      <c r="J24" s="240" t="s">
        <v>4</v>
      </c>
      <c r="K24" s="243">
        <f t="shared" si="2"/>
        <v>1261082.76</v>
      </c>
    </row>
    <row r="25" spans="1:11" s="154" customFormat="1" ht="24">
      <c r="A25" s="154">
        <v>138</v>
      </c>
      <c r="B25" s="223">
        <f t="shared" si="0"/>
        <v>21</v>
      </c>
      <c r="C25" s="231" t="s">
        <v>335</v>
      </c>
      <c r="D25" s="581">
        <v>689058.56</v>
      </c>
      <c r="E25" s="581">
        <v>2458.45</v>
      </c>
      <c r="F25" s="581">
        <v>9407.22</v>
      </c>
      <c r="G25" s="581">
        <v>2509.16</v>
      </c>
      <c r="H25" s="581">
        <f t="shared" si="3"/>
        <v>703433.39</v>
      </c>
      <c r="I25" s="250">
        <v>1</v>
      </c>
      <c r="J25" s="240" t="s">
        <v>4</v>
      </c>
      <c r="K25" s="243">
        <f t="shared" si="2"/>
        <v>703433.39</v>
      </c>
    </row>
    <row r="26" spans="1:11" s="154" customFormat="1" ht="24">
      <c r="A26" s="154">
        <v>130</v>
      </c>
      <c r="B26" s="223">
        <f t="shared" si="0"/>
        <v>22</v>
      </c>
      <c r="C26" s="225" t="s">
        <v>337</v>
      </c>
      <c r="D26" s="581">
        <v>25153522.84</v>
      </c>
      <c r="E26" s="581">
        <v>57011.63</v>
      </c>
      <c r="F26" s="581">
        <v>1656401.41</v>
      </c>
      <c r="G26" s="581">
        <v>1093052.44</v>
      </c>
      <c r="H26" s="581">
        <f t="shared" si="3"/>
        <v>27959988.32</v>
      </c>
      <c r="I26" s="250">
        <v>2329</v>
      </c>
      <c r="J26" s="240" t="s">
        <v>6</v>
      </c>
      <c r="K26" s="243">
        <f t="shared" si="2"/>
        <v>12005.147410905969</v>
      </c>
    </row>
    <row r="27" spans="1:11" s="154" customFormat="1" ht="24">
      <c r="A27" s="154">
        <v>127</v>
      </c>
      <c r="B27" s="223">
        <f>+B26+1</f>
        <v>23</v>
      </c>
      <c r="C27" s="225" t="s">
        <v>264</v>
      </c>
      <c r="D27" s="581">
        <v>42611467.38</v>
      </c>
      <c r="E27" s="581">
        <v>698333.84</v>
      </c>
      <c r="F27" s="581">
        <v>5964467.04</v>
      </c>
      <c r="G27" s="581">
        <v>758467.5</v>
      </c>
      <c r="H27" s="581">
        <f aca="true" t="shared" si="4" ref="H27:H33">SUM(D27:G27)</f>
        <v>50032735.760000005</v>
      </c>
      <c r="I27" s="250">
        <v>1642</v>
      </c>
      <c r="J27" s="240" t="s">
        <v>97</v>
      </c>
      <c r="K27" s="243">
        <f t="shared" si="2"/>
        <v>30470.606431181488</v>
      </c>
    </row>
    <row r="28" spans="2:11" s="154" customFormat="1" ht="24">
      <c r="B28" s="226"/>
      <c r="C28" s="227" t="s">
        <v>16</v>
      </c>
      <c r="D28" s="431"/>
      <c r="E28" s="519"/>
      <c r="F28" s="431"/>
      <c r="G28" s="431"/>
      <c r="H28" s="431"/>
      <c r="I28" s="251"/>
      <c r="J28" s="242"/>
      <c r="K28" s="243"/>
    </row>
    <row r="29" spans="1:11" ht="24">
      <c r="A29" s="25">
        <v>100</v>
      </c>
      <c r="B29" s="226">
        <v>1</v>
      </c>
      <c r="C29" s="225" t="s">
        <v>265</v>
      </c>
      <c r="D29" s="431">
        <v>3741270.49</v>
      </c>
      <c r="E29" s="431">
        <v>67694.59</v>
      </c>
      <c r="F29" s="431">
        <v>402370.98</v>
      </c>
      <c r="G29" s="431">
        <v>68087.25</v>
      </c>
      <c r="H29" s="431">
        <f t="shared" si="4"/>
        <v>4279423.3100000005</v>
      </c>
      <c r="I29" s="251">
        <v>16996</v>
      </c>
      <c r="J29" s="242" t="s">
        <v>7</v>
      </c>
      <c r="K29" s="243">
        <f aca="true" t="shared" si="5" ref="K29:K47">H29/I29</f>
        <v>251.79002765356557</v>
      </c>
    </row>
    <row r="30" spans="1:11" ht="24">
      <c r="A30" s="25">
        <v>101</v>
      </c>
      <c r="B30" s="226">
        <f>+B29+1</f>
        <v>2</v>
      </c>
      <c r="C30" s="225" t="s">
        <v>266</v>
      </c>
      <c r="D30" s="431">
        <v>3741270.49</v>
      </c>
      <c r="E30" s="431">
        <v>67694.59</v>
      </c>
      <c r="F30" s="431">
        <v>402370.98</v>
      </c>
      <c r="G30" s="431">
        <v>68087.24</v>
      </c>
      <c r="H30" s="431">
        <f t="shared" si="4"/>
        <v>4279423.300000001</v>
      </c>
      <c r="I30" s="251">
        <v>1341</v>
      </c>
      <c r="J30" s="242" t="s">
        <v>4</v>
      </c>
      <c r="K30" s="243">
        <f t="shared" si="5"/>
        <v>3191.2179716629385</v>
      </c>
    </row>
    <row r="31" spans="1:11" ht="24">
      <c r="A31" s="25">
        <v>102</v>
      </c>
      <c r="B31" s="226">
        <f aca="true" t="shared" si="6" ref="B31:B49">+B30+1</f>
        <v>3</v>
      </c>
      <c r="C31" s="225" t="s">
        <v>267</v>
      </c>
      <c r="D31" s="431">
        <v>1773633.32</v>
      </c>
      <c r="E31" s="431">
        <v>88051.22</v>
      </c>
      <c r="F31" s="431">
        <v>124544.87</v>
      </c>
      <c r="G31" s="431">
        <v>25292.36</v>
      </c>
      <c r="H31" s="431">
        <f t="shared" si="4"/>
        <v>2011521.7700000003</v>
      </c>
      <c r="I31" s="251">
        <v>443</v>
      </c>
      <c r="J31" s="242" t="s">
        <v>6</v>
      </c>
      <c r="K31" s="243">
        <f>H31/I31</f>
        <v>4540.681196388263</v>
      </c>
    </row>
    <row r="32" spans="1:11" ht="24">
      <c r="A32" s="25">
        <v>103</v>
      </c>
      <c r="B32" s="226">
        <f t="shared" si="6"/>
        <v>4</v>
      </c>
      <c r="C32" s="225" t="s">
        <v>268</v>
      </c>
      <c r="D32" s="431">
        <v>3842872.2</v>
      </c>
      <c r="E32" s="431">
        <v>190777.63</v>
      </c>
      <c r="F32" s="431">
        <v>269847.21</v>
      </c>
      <c r="G32" s="431">
        <v>54800.12</v>
      </c>
      <c r="H32" s="431">
        <f t="shared" si="4"/>
        <v>4358297.16</v>
      </c>
      <c r="I32" s="251">
        <v>11457</v>
      </c>
      <c r="J32" s="242" t="s">
        <v>42</v>
      </c>
      <c r="K32" s="243">
        <f t="shared" si="5"/>
        <v>380.4047446975648</v>
      </c>
    </row>
    <row r="33" spans="1:11" ht="24">
      <c r="A33" s="25">
        <v>159</v>
      </c>
      <c r="B33" s="226">
        <f t="shared" si="6"/>
        <v>5</v>
      </c>
      <c r="C33" s="225" t="s">
        <v>331</v>
      </c>
      <c r="D33" s="431">
        <v>295605.55</v>
      </c>
      <c r="E33" s="431">
        <v>14675.2</v>
      </c>
      <c r="F33" s="431">
        <v>20757.48</v>
      </c>
      <c r="G33" s="431">
        <v>4215.39</v>
      </c>
      <c r="H33" s="431">
        <f t="shared" si="4"/>
        <v>335253.62</v>
      </c>
      <c r="I33" s="251">
        <v>2</v>
      </c>
      <c r="J33" s="242" t="s">
        <v>326</v>
      </c>
      <c r="K33" s="243">
        <f t="shared" si="5"/>
        <v>167626.81</v>
      </c>
    </row>
    <row r="34" spans="1:11" ht="24">
      <c r="A34" s="25">
        <v>104</v>
      </c>
      <c r="B34" s="226">
        <f>+B33+1</f>
        <v>6</v>
      </c>
      <c r="C34" s="225" t="s">
        <v>269</v>
      </c>
      <c r="D34" s="431">
        <v>2439790.86</v>
      </c>
      <c r="E34" s="431">
        <v>28502.56</v>
      </c>
      <c r="F34" s="431">
        <v>230510.78</v>
      </c>
      <c r="G34" s="431">
        <v>28668.32</v>
      </c>
      <c r="H34" s="431">
        <f>SUM(D34:G34)</f>
        <v>2727472.5199999996</v>
      </c>
      <c r="I34" s="251">
        <v>684</v>
      </c>
      <c r="J34" s="242" t="s">
        <v>8</v>
      </c>
      <c r="K34" s="243">
        <f t="shared" si="5"/>
        <v>3987.5329239766074</v>
      </c>
    </row>
    <row r="35" spans="1:11" ht="48">
      <c r="A35" s="25">
        <v>105</v>
      </c>
      <c r="B35" s="226">
        <f t="shared" si="6"/>
        <v>7</v>
      </c>
      <c r="C35" s="232" t="s">
        <v>270</v>
      </c>
      <c r="D35" s="588">
        <v>9587440.39</v>
      </c>
      <c r="E35" s="588">
        <v>85673.06</v>
      </c>
      <c r="F35" s="588">
        <v>439138.47</v>
      </c>
      <c r="G35" s="588">
        <v>5125792.27</v>
      </c>
      <c r="H35" s="588">
        <f>SUM(D35:G35)</f>
        <v>15238044.190000001</v>
      </c>
      <c r="I35" s="347">
        <f>585+124+151</f>
        <v>860</v>
      </c>
      <c r="J35" s="298" t="s">
        <v>90</v>
      </c>
      <c r="K35" s="243">
        <f t="shared" si="5"/>
        <v>17718.656034883723</v>
      </c>
    </row>
    <row r="36" spans="1:11" ht="24">
      <c r="A36" s="25">
        <v>106</v>
      </c>
      <c r="B36" s="226">
        <f t="shared" si="6"/>
        <v>8</v>
      </c>
      <c r="C36" s="225" t="s">
        <v>271</v>
      </c>
      <c r="D36" s="588">
        <v>13274917.47</v>
      </c>
      <c r="E36" s="588">
        <v>118624.23</v>
      </c>
      <c r="F36" s="588">
        <v>608037.88</v>
      </c>
      <c r="G36" s="588">
        <v>7097250.84</v>
      </c>
      <c r="H36" s="588">
        <f>SUM(D36:G36)</f>
        <v>21098830.42</v>
      </c>
      <c r="I36" s="299">
        <v>1</v>
      </c>
      <c r="J36" s="300" t="s">
        <v>89</v>
      </c>
      <c r="K36" s="243">
        <f t="shared" si="5"/>
        <v>21098830.42</v>
      </c>
    </row>
    <row r="37" spans="1:11" ht="24">
      <c r="A37" s="25">
        <v>156</v>
      </c>
      <c r="B37" s="226">
        <f t="shared" si="6"/>
        <v>9</v>
      </c>
      <c r="C37" s="225" t="s">
        <v>320</v>
      </c>
      <c r="D37" s="588">
        <v>1720822.63</v>
      </c>
      <c r="E37" s="588">
        <v>15377.22</v>
      </c>
      <c r="F37" s="588">
        <v>78819.72</v>
      </c>
      <c r="G37" s="588">
        <v>920014</v>
      </c>
      <c r="H37" s="588">
        <f>SUM(D37:G37)</f>
        <v>2735033.57</v>
      </c>
      <c r="I37" s="299">
        <v>1</v>
      </c>
      <c r="J37" s="300" t="s">
        <v>4</v>
      </c>
      <c r="K37" s="243">
        <f t="shared" si="5"/>
        <v>2735033.57</v>
      </c>
    </row>
    <row r="38" spans="1:11" ht="24">
      <c r="A38" s="25">
        <v>107</v>
      </c>
      <c r="B38" s="226">
        <f>+B37+1</f>
        <v>10</v>
      </c>
      <c r="C38" s="225" t="s">
        <v>272</v>
      </c>
      <c r="D38" s="588">
        <v>9874258.06</v>
      </c>
      <c r="E38" s="588">
        <v>54632.25</v>
      </c>
      <c r="F38" s="588">
        <v>418842.53</v>
      </c>
      <c r="G38" s="588">
        <v>60041.93</v>
      </c>
      <c r="H38" s="588">
        <f>SUM(D38:G38)</f>
        <v>10407774.77</v>
      </c>
      <c r="I38" s="299">
        <v>1</v>
      </c>
      <c r="J38" s="300" t="s">
        <v>86</v>
      </c>
      <c r="K38" s="243">
        <f>H38/I38</f>
        <v>10407774.77</v>
      </c>
    </row>
    <row r="39" spans="1:11" ht="72">
      <c r="A39" s="25">
        <v>157</v>
      </c>
      <c r="B39" s="226">
        <f>+B38+1</f>
        <v>11</v>
      </c>
      <c r="C39" s="231" t="s">
        <v>333</v>
      </c>
      <c r="D39" s="588">
        <v>9874258.06</v>
      </c>
      <c r="E39" s="588">
        <v>54632.25</v>
      </c>
      <c r="F39" s="588">
        <v>418842.53</v>
      </c>
      <c r="G39" s="588">
        <v>60041.93</v>
      </c>
      <c r="H39" s="588">
        <f aca="true" t="shared" si="7" ref="H39:H49">SUM(D39:G39)</f>
        <v>10407774.77</v>
      </c>
      <c r="I39" s="340">
        <v>785729400</v>
      </c>
      <c r="J39" s="303" t="s">
        <v>325</v>
      </c>
      <c r="K39" s="243">
        <f>H39/I39</f>
        <v>0.013246003993232275</v>
      </c>
    </row>
    <row r="40" spans="1:11" ht="24">
      <c r="A40" s="25">
        <v>108</v>
      </c>
      <c r="B40" s="226">
        <f>+B39+1</f>
        <v>12</v>
      </c>
      <c r="C40" s="225" t="s">
        <v>273</v>
      </c>
      <c r="D40" s="588">
        <v>1330250.72</v>
      </c>
      <c r="E40" s="588">
        <v>19952.6</v>
      </c>
      <c r="F40" s="588">
        <v>105096.27</v>
      </c>
      <c r="G40" s="588">
        <v>20723.02</v>
      </c>
      <c r="H40" s="588">
        <f t="shared" si="7"/>
        <v>1476022.61</v>
      </c>
      <c r="I40" s="299">
        <v>1</v>
      </c>
      <c r="J40" s="300" t="s">
        <v>86</v>
      </c>
      <c r="K40" s="243">
        <f t="shared" si="5"/>
        <v>1476022.61</v>
      </c>
    </row>
    <row r="41" spans="1:11" ht="24">
      <c r="A41" s="25">
        <v>139</v>
      </c>
      <c r="B41" s="226">
        <f t="shared" si="6"/>
        <v>13</v>
      </c>
      <c r="C41" s="225" t="s">
        <v>285</v>
      </c>
      <c r="D41" s="588">
        <v>1662813.41</v>
      </c>
      <c r="E41" s="588">
        <v>24940.74</v>
      </c>
      <c r="F41" s="588">
        <v>131370.34</v>
      </c>
      <c r="G41" s="588">
        <v>25903.77</v>
      </c>
      <c r="H41" s="588">
        <f t="shared" si="7"/>
        <v>1845028.26</v>
      </c>
      <c r="I41" s="299">
        <v>1</v>
      </c>
      <c r="J41" s="300" t="s">
        <v>86</v>
      </c>
      <c r="K41" s="243">
        <f>H41/I41</f>
        <v>1845028.26</v>
      </c>
    </row>
    <row r="42" spans="1:11" ht="24">
      <c r="A42" s="25">
        <v>140</v>
      </c>
      <c r="B42" s="226">
        <f t="shared" si="6"/>
        <v>14</v>
      </c>
      <c r="C42" s="225" t="s">
        <v>405</v>
      </c>
      <c r="D42" s="588">
        <v>332562.68</v>
      </c>
      <c r="E42" s="588">
        <v>4988.15</v>
      </c>
      <c r="F42" s="588">
        <v>26274.06</v>
      </c>
      <c r="G42" s="588">
        <v>5180.76</v>
      </c>
      <c r="H42" s="588">
        <f t="shared" si="7"/>
        <v>369005.65</v>
      </c>
      <c r="I42" s="299">
        <v>26</v>
      </c>
      <c r="J42" s="300" t="s">
        <v>326</v>
      </c>
      <c r="K42" s="243">
        <f>H42/I42</f>
        <v>14192.525000000001</v>
      </c>
    </row>
    <row r="43" spans="1:11" ht="72">
      <c r="A43" s="25">
        <v>109</v>
      </c>
      <c r="B43" s="226">
        <f t="shared" si="6"/>
        <v>15</v>
      </c>
      <c r="C43" s="277" t="s">
        <v>274</v>
      </c>
      <c r="D43" s="588">
        <v>3886229.1</v>
      </c>
      <c r="E43" s="588">
        <v>57717.99</v>
      </c>
      <c r="F43" s="588">
        <v>287775.87</v>
      </c>
      <c r="G43" s="588">
        <v>175587.01</v>
      </c>
      <c r="H43" s="588">
        <f t="shared" si="7"/>
        <v>4407309.97</v>
      </c>
      <c r="I43" s="340">
        <f>26733+20771</f>
        <v>47504</v>
      </c>
      <c r="J43" s="298" t="s">
        <v>87</v>
      </c>
      <c r="K43" s="243">
        <f t="shared" si="5"/>
        <v>92.77766019703603</v>
      </c>
    </row>
    <row r="44" spans="1:11" ht="24">
      <c r="A44" s="25">
        <v>110</v>
      </c>
      <c r="B44" s="226">
        <f t="shared" si="6"/>
        <v>16</v>
      </c>
      <c r="C44" s="225" t="s">
        <v>275</v>
      </c>
      <c r="D44" s="588">
        <v>5181638.8</v>
      </c>
      <c r="E44" s="588">
        <v>76957.32</v>
      </c>
      <c r="F44" s="588">
        <v>383701.16</v>
      </c>
      <c r="G44" s="588">
        <v>234116.01</v>
      </c>
      <c r="H44" s="588">
        <f t="shared" si="7"/>
        <v>5876413.29</v>
      </c>
      <c r="I44" s="299">
        <v>91203</v>
      </c>
      <c r="J44" s="300" t="s">
        <v>88</v>
      </c>
      <c r="K44" s="243">
        <f t="shared" si="5"/>
        <v>64.43223676852735</v>
      </c>
    </row>
    <row r="45" spans="1:11" ht="24">
      <c r="A45" s="25">
        <v>158</v>
      </c>
      <c r="B45" s="226">
        <f t="shared" si="6"/>
        <v>17</v>
      </c>
      <c r="C45" s="225" t="s">
        <v>332</v>
      </c>
      <c r="D45" s="588">
        <v>3886229.09</v>
      </c>
      <c r="E45" s="588">
        <v>57718</v>
      </c>
      <c r="F45" s="588">
        <v>287775.87</v>
      </c>
      <c r="G45" s="588">
        <v>175587</v>
      </c>
      <c r="H45" s="588">
        <f t="shared" si="7"/>
        <v>4407309.96</v>
      </c>
      <c r="I45" s="299">
        <v>264</v>
      </c>
      <c r="J45" s="300" t="s">
        <v>4</v>
      </c>
      <c r="K45" s="243">
        <f t="shared" si="5"/>
        <v>16694.355909090908</v>
      </c>
    </row>
    <row r="46" spans="1:11" ht="24">
      <c r="A46" s="25">
        <v>114</v>
      </c>
      <c r="B46" s="226">
        <f>+B45+1</f>
        <v>18</v>
      </c>
      <c r="C46" s="225" t="s">
        <v>393</v>
      </c>
      <c r="D46" s="588">
        <v>10933181.28</v>
      </c>
      <c r="E46" s="588">
        <v>92636.34</v>
      </c>
      <c r="F46" s="588">
        <v>1023947.02</v>
      </c>
      <c r="G46" s="588">
        <v>1306760</v>
      </c>
      <c r="H46" s="588">
        <f t="shared" si="7"/>
        <v>13356524.639999999</v>
      </c>
      <c r="I46" s="299">
        <v>1</v>
      </c>
      <c r="J46" s="300" t="s">
        <v>98</v>
      </c>
      <c r="K46" s="243">
        <f t="shared" si="5"/>
        <v>13356524.639999999</v>
      </c>
    </row>
    <row r="47" spans="1:11" ht="48">
      <c r="A47" s="25">
        <v>111</v>
      </c>
      <c r="B47" s="226">
        <f t="shared" si="6"/>
        <v>19</v>
      </c>
      <c r="C47" s="231" t="s">
        <v>277</v>
      </c>
      <c r="D47" s="588">
        <v>5806125.65</v>
      </c>
      <c r="E47" s="588">
        <v>92635.34</v>
      </c>
      <c r="F47" s="588">
        <v>622600.45</v>
      </c>
      <c r="G47" s="588">
        <v>93172.02</v>
      </c>
      <c r="H47" s="588">
        <f t="shared" si="7"/>
        <v>6614533.46</v>
      </c>
      <c r="I47" s="340">
        <v>11041</v>
      </c>
      <c r="J47" s="298" t="s">
        <v>99</v>
      </c>
      <c r="K47" s="243">
        <f t="shared" si="5"/>
        <v>599.0882583099357</v>
      </c>
    </row>
    <row r="48" spans="1:11" ht="24">
      <c r="A48" s="25">
        <v>112</v>
      </c>
      <c r="B48" s="226">
        <f t="shared" si="6"/>
        <v>20</v>
      </c>
      <c r="C48" s="225" t="s">
        <v>278</v>
      </c>
      <c r="D48" s="588">
        <v>4518977.28</v>
      </c>
      <c r="E48" s="588">
        <v>57006.13</v>
      </c>
      <c r="F48" s="588">
        <v>239080.88</v>
      </c>
      <c r="G48" s="588">
        <v>118347.59</v>
      </c>
      <c r="H48" s="588">
        <f t="shared" si="7"/>
        <v>4933411.88</v>
      </c>
      <c r="I48" s="299">
        <v>93</v>
      </c>
      <c r="J48" s="300" t="s">
        <v>4</v>
      </c>
      <c r="K48" s="243">
        <f>H48/I48</f>
        <v>53047.43956989247</v>
      </c>
    </row>
    <row r="49" spans="1:11" ht="48">
      <c r="A49" s="25">
        <v>113</v>
      </c>
      <c r="B49" s="226">
        <f t="shared" si="6"/>
        <v>21</v>
      </c>
      <c r="C49" s="231" t="s">
        <v>279</v>
      </c>
      <c r="D49" s="588">
        <v>2998635.37</v>
      </c>
      <c r="E49" s="588">
        <v>42756.85</v>
      </c>
      <c r="F49" s="588">
        <v>363238.64</v>
      </c>
      <c r="G49" s="588">
        <v>43002.47</v>
      </c>
      <c r="H49" s="588">
        <f t="shared" si="7"/>
        <v>3447633.3300000005</v>
      </c>
      <c r="I49" s="340">
        <f>1933+2300+100+1000</f>
        <v>5333</v>
      </c>
      <c r="J49" s="303" t="s">
        <v>100</v>
      </c>
      <c r="K49" s="243">
        <f>H49/I49</f>
        <v>646.471653853366</v>
      </c>
    </row>
    <row r="50" spans="2:11" ht="24.75" thickBot="1">
      <c r="B50" s="229"/>
      <c r="C50" s="228" t="s">
        <v>27</v>
      </c>
      <c r="D50" s="244">
        <f>SUM(D5:D6,D9:D17,D18:D26,D27,D29:D38,D39:D49,D7:D8)</f>
        <v>687123096.85</v>
      </c>
      <c r="E50" s="244">
        <f>SUM(E5:E6,E9:E17,E18:E26,E27,E29:E38,E39:E49,E7:E8)</f>
        <v>14995981.03</v>
      </c>
      <c r="F50" s="244">
        <f>SUM(F5:F6,F9:F17,F18:F26,F27,F29:F38,F39:F49,F7:F8)</f>
        <v>29053890.91</v>
      </c>
      <c r="G50" s="244">
        <f>SUM(G5:G6,G9:G17,G18:G26,G27,G29:G38,G39:G49,G7:G8)</f>
        <v>27080616.799999997</v>
      </c>
      <c r="H50" s="244">
        <f>SUM(H5:H6,H9:H17,H18:H26,H27,H29:H38,H39:H49,H7:H8)</f>
        <v>758253585.5899999</v>
      </c>
      <c r="I50" s="252"/>
      <c r="J50" s="244"/>
      <c r="K50" s="245"/>
    </row>
    <row r="51" ht="24.75" thickTop="1"/>
  </sheetData>
  <sheetProtection/>
  <printOptions horizontalCentered="1"/>
  <pageMargins left="0.419291339" right="0.222440945" top="0.340551181" bottom="0.340551181" header="0.511811023622047" footer="0.511811023622047"/>
  <pageSetup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31" zoomScalePageLayoutView="0" workbookViewId="0" topLeftCell="A1">
      <pane xSplit="3" ySplit="3" topLeftCell="D4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C9" sqref="C9"/>
    </sheetView>
  </sheetViews>
  <sheetFormatPr defaultColWidth="9.140625" defaultRowHeight="12.75"/>
  <cols>
    <col min="1" max="1" width="3.28125" style="25" bestFit="1" customWidth="1"/>
    <col min="2" max="2" width="9.8515625" style="154" customWidth="1"/>
    <col min="3" max="3" width="61.421875" style="25" customWidth="1"/>
    <col min="4" max="4" width="20.140625" style="247" customWidth="1"/>
    <col min="5" max="5" width="19.140625" style="247" customWidth="1"/>
    <col min="6" max="6" width="18.00390625" style="247" customWidth="1"/>
    <col min="7" max="7" width="17.8515625" style="247" customWidth="1"/>
    <col min="8" max="8" width="23.421875" style="247" customWidth="1"/>
    <col min="9" max="9" width="11.8515625" style="253" customWidth="1"/>
    <col min="10" max="10" width="12.7109375" style="246" customWidth="1"/>
    <col min="11" max="11" width="28.00390625" style="247" customWidth="1"/>
    <col min="12" max="16384" width="9.140625" style="25" customWidth="1"/>
  </cols>
  <sheetData>
    <row r="1" spans="2:13" s="161" customFormat="1" ht="24">
      <c r="B1" s="254"/>
      <c r="C1" s="160" t="s">
        <v>117</v>
      </c>
      <c r="D1" s="235"/>
      <c r="E1" s="235"/>
      <c r="F1" s="235"/>
      <c r="G1" s="235"/>
      <c r="H1" s="235"/>
      <c r="I1" s="248"/>
      <c r="J1" s="234"/>
      <c r="K1" s="235"/>
      <c r="L1" s="254"/>
      <c r="M1" s="254"/>
    </row>
    <row r="2" spans="2:11" s="161" customFormat="1" ht="24">
      <c r="B2" s="254"/>
      <c r="D2" s="235"/>
      <c r="E2" s="235"/>
      <c r="F2" s="235"/>
      <c r="G2" s="235"/>
      <c r="H2" s="235"/>
      <c r="I2" s="248"/>
      <c r="J2" s="236"/>
      <c r="K2" s="237" t="s">
        <v>17</v>
      </c>
    </row>
    <row r="3" spans="1:11" s="162" customFormat="1" ht="48">
      <c r="A3" s="221"/>
      <c r="B3" s="353"/>
      <c r="C3" s="222" t="s">
        <v>14</v>
      </c>
      <c r="D3" s="239" t="s">
        <v>0</v>
      </c>
      <c r="E3" s="239" t="s">
        <v>1</v>
      </c>
      <c r="F3" s="239" t="s">
        <v>2</v>
      </c>
      <c r="G3" s="239" t="s">
        <v>3</v>
      </c>
      <c r="H3" s="239" t="s">
        <v>11</v>
      </c>
      <c r="I3" s="249" t="s">
        <v>9</v>
      </c>
      <c r="J3" s="238" t="s">
        <v>10</v>
      </c>
      <c r="K3" s="239" t="s">
        <v>12</v>
      </c>
    </row>
    <row r="4" spans="1:11" s="154" customFormat="1" ht="24">
      <c r="A4" s="223"/>
      <c r="B4" s="354"/>
      <c r="C4" s="224" t="s">
        <v>15</v>
      </c>
      <c r="D4" s="241"/>
      <c r="E4" s="241"/>
      <c r="F4" s="241"/>
      <c r="G4" s="241"/>
      <c r="H4" s="241"/>
      <c r="I4" s="250"/>
      <c r="J4" s="240"/>
      <c r="K4" s="241"/>
    </row>
    <row r="5" spans="1:11" s="154" customFormat="1" ht="24">
      <c r="A5" s="223">
        <v>1</v>
      </c>
      <c r="B5" s="354">
        <v>115</v>
      </c>
      <c r="C5" s="225" t="s">
        <v>246</v>
      </c>
      <c r="D5" s="243">
        <f>13902777.96-1104869.19</f>
        <v>12797908.770000001</v>
      </c>
      <c r="E5" s="243">
        <f>-1083147.43+1104869.19</f>
        <v>21721.76000000001</v>
      </c>
      <c r="F5" s="243">
        <v>224814.65</v>
      </c>
      <c r="G5" s="243">
        <v>37966.41</v>
      </c>
      <c r="H5" s="243">
        <f aca="true" t="shared" si="0" ref="H5:H30">SUM(D5:G5)</f>
        <v>13082411.590000002</v>
      </c>
      <c r="I5" s="250">
        <v>63</v>
      </c>
      <c r="J5" s="240" t="s">
        <v>4</v>
      </c>
      <c r="K5" s="243">
        <f>H5/I5</f>
        <v>207657.32682539686</v>
      </c>
    </row>
    <row r="6" spans="1:11" s="154" customFormat="1" ht="24">
      <c r="A6" s="223">
        <f>+A5+1</f>
        <v>2</v>
      </c>
      <c r="B6" s="354">
        <v>116</v>
      </c>
      <c r="C6" s="225" t="s">
        <v>247</v>
      </c>
      <c r="D6" s="243">
        <f>10813271.75-859342.71</f>
        <v>9953929.04</v>
      </c>
      <c r="E6" s="243">
        <f>-842448+859342.71</f>
        <v>16894.709999999963</v>
      </c>
      <c r="F6" s="243">
        <v>174855.84</v>
      </c>
      <c r="G6" s="243">
        <v>29529.42</v>
      </c>
      <c r="H6" s="243">
        <f t="shared" si="0"/>
        <v>10175209.01</v>
      </c>
      <c r="I6" s="250">
        <v>50</v>
      </c>
      <c r="J6" s="240" t="s">
        <v>4</v>
      </c>
      <c r="K6" s="243">
        <f>H6/I6</f>
        <v>203504.1802</v>
      </c>
    </row>
    <row r="7" spans="1:11" s="154" customFormat="1" ht="24" customHeight="1">
      <c r="A7" s="223">
        <f aca="true" t="shared" si="1" ref="A7:A29">+A6+1</f>
        <v>3</v>
      </c>
      <c r="B7" s="354">
        <v>117</v>
      </c>
      <c r="C7" s="231" t="s">
        <v>248</v>
      </c>
      <c r="D7" s="243">
        <f>4634259.32-368289.73</f>
        <v>4265969.59</v>
      </c>
      <c r="E7" s="243">
        <f>-361049.14+368289.73</f>
        <v>7240.589999999967</v>
      </c>
      <c r="F7" s="243">
        <v>74938.21</v>
      </c>
      <c r="G7" s="243">
        <v>12655.47</v>
      </c>
      <c r="H7" s="243">
        <f t="shared" si="0"/>
        <v>4360803.859999999</v>
      </c>
      <c r="I7" s="250">
        <v>24</v>
      </c>
      <c r="J7" s="240" t="s">
        <v>4</v>
      </c>
      <c r="K7" s="243">
        <f aca="true" t="shared" si="2" ref="K7:K30">H7/I7</f>
        <v>181700.1608333333</v>
      </c>
    </row>
    <row r="8" spans="1:11" s="154" customFormat="1" ht="24" customHeight="1">
      <c r="A8" s="223">
        <f t="shared" si="1"/>
        <v>4</v>
      </c>
      <c r="B8" s="354">
        <v>141</v>
      </c>
      <c r="C8" s="231" t="s">
        <v>249</v>
      </c>
      <c r="D8" s="243">
        <f>1544753.1+25767149.69+8177767.96-122763.24</f>
        <v>35366907.51</v>
      </c>
      <c r="E8" s="243">
        <f>-120349.71+45802.31+32011.01+122763.24</f>
        <v>80226.84999999999</v>
      </c>
      <c r="F8" s="243">
        <f>24979.41+1678576.16+281413.68</f>
        <v>1984969.2499999998</v>
      </c>
      <c r="G8" s="243">
        <f>4218.48+2010981.85+55411.55</f>
        <v>2070611.8800000001</v>
      </c>
      <c r="H8" s="243">
        <f t="shared" si="0"/>
        <v>39502715.49</v>
      </c>
      <c r="I8" s="250">
        <f>5+11+1</f>
        <v>17</v>
      </c>
      <c r="J8" s="240" t="s">
        <v>4</v>
      </c>
      <c r="K8" s="243">
        <f>H8/I8</f>
        <v>2323689.146470588</v>
      </c>
    </row>
    <row r="9" spans="1:11" s="154" customFormat="1" ht="24">
      <c r="A9" s="223">
        <f t="shared" si="1"/>
        <v>5</v>
      </c>
      <c r="B9" s="354">
        <v>128</v>
      </c>
      <c r="C9" s="225" t="s">
        <v>250</v>
      </c>
      <c r="D9" s="243">
        <f>288431704.8-2741737.41</f>
        <v>285689967.39</v>
      </c>
      <c r="E9" s="243">
        <f>-2608536.47+2741737.41</f>
        <v>133200.93999999994</v>
      </c>
      <c r="F9" s="243">
        <v>989857.38</v>
      </c>
      <c r="G9" s="243">
        <v>4470501.95</v>
      </c>
      <c r="H9" s="243">
        <f t="shared" si="0"/>
        <v>291283527.65999997</v>
      </c>
      <c r="I9" s="250">
        <v>118</v>
      </c>
      <c r="J9" s="240" t="s">
        <v>4</v>
      </c>
      <c r="K9" s="243">
        <f t="shared" si="2"/>
        <v>2468504.471694915</v>
      </c>
    </row>
    <row r="10" spans="1:11" s="154" customFormat="1" ht="24" customHeight="1">
      <c r="A10" s="223">
        <f t="shared" si="1"/>
        <v>6</v>
      </c>
      <c r="B10" s="354">
        <v>118</v>
      </c>
      <c r="C10" s="225" t="s">
        <v>289</v>
      </c>
      <c r="D10" s="243">
        <f>59283667.94+8193826.88</f>
        <v>67477494.82</v>
      </c>
      <c r="E10" s="243">
        <f>371826.99+51391.66</f>
        <v>423218.65</v>
      </c>
      <c r="F10" s="243">
        <f>639774.58+88425.74</f>
        <v>728200.32</v>
      </c>
      <c r="G10" s="243">
        <f>144534.73+19976.71</f>
        <v>164511.44</v>
      </c>
      <c r="H10" s="243">
        <f t="shared" si="0"/>
        <v>68793425.22999999</v>
      </c>
      <c r="I10" s="250">
        <f>1049+1084</f>
        <v>2133</v>
      </c>
      <c r="J10" s="240" t="s">
        <v>4</v>
      </c>
      <c r="K10" s="243">
        <f t="shared" si="2"/>
        <v>32251.957444913263</v>
      </c>
    </row>
    <row r="11" spans="1:11" s="154" customFormat="1" ht="24" customHeight="1">
      <c r="A11" s="223">
        <f t="shared" si="1"/>
        <v>7</v>
      </c>
      <c r="B11" s="354">
        <v>119</v>
      </c>
      <c r="C11" s="231" t="s">
        <v>251</v>
      </c>
      <c r="D11" s="243">
        <v>972615.51</v>
      </c>
      <c r="E11" s="243">
        <v>6100.24</v>
      </c>
      <c r="F11" s="243">
        <v>10496.22</v>
      </c>
      <c r="G11" s="243">
        <v>2371.26</v>
      </c>
      <c r="H11" s="243">
        <f t="shared" si="0"/>
        <v>991583.23</v>
      </c>
      <c r="I11" s="250">
        <v>22029</v>
      </c>
      <c r="J11" s="240" t="s">
        <v>5</v>
      </c>
      <c r="K11" s="243">
        <f t="shared" si="2"/>
        <v>45.01263016932226</v>
      </c>
    </row>
    <row r="12" spans="1:11" s="154" customFormat="1" ht="24" customHeight="1">
      <c r="A12" s="223">
        <f t="shared" si="1"/>
        <v>8</v>
      </c>
      <c r="B12" s="354">
        <v>120</v>
      </c>
      <c r="C12" s="231" t="s">
        <v>252</v>
      </c>
      <c r="D12" s="243">
        <v>10735473.07</v>
      </c>
      <c r="E12" s="243">
        <v>67332.85</v>
      </c>
      <c r="F12" s="243">
        <v>115854.55</v>
      </c>
      <c r="G12" s="243">
        <v>26173.29</v>
      </c>
      <c r="H12" s="243">
        <f t="shared" si="0"/>
        <v>10944833.76</v>
      </c>
      <c r="I12" s="250">
        <v>57</v>
      </c>
      <c r="J12" s="240" t="s">
        <v>4</v>
      </c>
      <c r="K12" s="243">
        <f t="shared" si="2"/>
        <v>192014.62736842106</v>
      </c>
    </row>
    <row r="13" spans="1:11" s="154" customFormat="1" ht="24" customHeight="1">
      <c r="A13" s="223">
        <f t="shared" si="1"/>
        <v>9</v>
      </c>
      <c r="B13" s="354">
        <v>121</v>
      </c>
      <c r="C13" s="231" t="s">
        <v>253</v>
      </c>
      <c r="D13" s="243">
        <v>7478128.67</v>
      </c>
      <c r="E13" s="243">
        <v>46902.81</v>
      </c>
      <c r="F13" s="243">
        <v>80702.1</v>
      </c>
      <c r="G13" s="243">
        <v>18231.82</v>
      </c>
      <c r="H13" s="243">
        <f t="shared" si="0"/>
        <v>7623965.399999999</v>
      </c>
      <c r="I13" s="250">
        <v>120</v>
      </c>
      <c r="J13" s="240" t="s">
        <v>4</v>
      </c>
      <c r="K13" s="243">
        <f t="shared" si="2"/>
        <v>63533.045</v>
      </c>
    </row>
    <row r="14" spans="1:11" s="154" customFormat="1" ht="24">
      <c r="A14" s="223">
        <f t="shared" si="1"/>
        <v>10</v>
      </c>
      <c r="B14" s="354">
        <v>122</v>
      </c>
      <c r="C14" s="231" t="s">
        <v>319</v>
      </c>
      <c r="D14" s="243">
        <v>247741.68</v>
      </c>
      <c r="E14" s="243">
        <v>1553.84</v>
      </c>
      <c r="F14" s="243">
        <v>2673.57</v>
      </c>
      <c r="G14" s="243">
        <v>604</v>
      </c>
      <c r="H14" s="243">
        <f t="shared" si="0"/>
        <v>252573.09</v>
      </c>
      <c r="I14" s="250">
        <v>6</v>
      </c>
      <c r="J14" s="240" t="s">
        <v>4</v>
      </c>
      <c r="K14" s="243">
        <f t="shared" si="2"/>
        <v>42095.515</v>
      </c>
    </row>
    <row r="15" spans="1:11" s="154" customFormat="1" ht="24">
      <c r="A15" s="223">
        <f t="shared" si="1"/>
        <v>11</v>
      </c>
      <c r="B15" s="354">
        <v>123</v>
      </c>
      <c r="C15" s="231" t="s">
        <v>254</v>
      </c>
      <c r="D15" s="243">
        <v>844156.86</v>
      </c>
      <c r="E15" s="243">
        <v>5294.55</v>
      </c>
      <c r="F15" s="243">
        <v>9109.93</v>
      </c>
      <c r="G15" s="243">
        <v>2058.06</v>
      </c>
      <c r="H15" s="243">
        <f t="shared" si="0"/>
        <v>860619.4000000001</v>
      </c>
      <c r="I15" s="250">
        <v>18</v>
      </c>
      <c r="J15" s="240" t="s">
        <v>4</v>
      </c>
      <c r="K15" s="243">
        <f t="shared" si="2"/>
        <v>47812.18888888889</v>
      </c>
    </row>
    <row r="16" spans="1:11" s="154" customFormat="1" ht="24">
      <c r="A16" s="223">
        <f t="shared" si="1"/>
        <v>12</v>
      </c>
      <c r="B16" s="354">
        <v>124</v>
      </c>
      <c r="C16" s="231" t="s">
        <v>255</v>
      </c>
      <c r="D16" s="243">
        <v>2119567.76</v>
      </c>
      <c r="E16" s="243">
        <v>13293.92</v>
      </c>
      <c r="F16" s="243">
        <v>22873.85</v>
      </c>
      <c r="G16" s="243">
        <v>5167.55</v>
      </c>
      <c r="H16" s="243">
        <f t="shared" si="0"/>
        <v>2160903.0799999996</v>
      </c>
      <c r="I16" s="250">
        <v>359</v>
      </c>
      <c r="J16" s="240" t="s">
        <v>4</v>
      </c>
      <c r="K16" s="243">
        <f t="shared" si="2"/>
        <v>6019.228635097492</v>
      </c>
    </row>
    <row r="17" spans="1:11" s="154" customFormat="1" ht="24" customHeight="1">
      <c r="A17" s="223">
        <f t="shared" si="1"/>
        <v>13</v>
      </c>
      <c r="B17" s="354">
        <v>125</v>
      </c>
      <c r="C17" s="231" t="s">
        <v>256</v>
      </c>
      <c r="D17" s="243">
        <v>1413045.17</v>
      </c>
      <c r="E17" s="243">
        <v>8862.62</v>
      </c>
      <c r="F17" s="243">
        <v>15249.23</v>
      </c>
      <c r="G17" s="243">
        <v>3445.03</v>
      </c>
      <c r="H17" s="243">
        <f t="shared" si="0"/>
        <v>1440602.05</v>
      </c>
      <c r="I17" s="250">
        <v>12</v>
      </c>
      <c r="J17" s="240" t="s">
        <v>4</v>
      </c>
      <c r="K17" s="243">
        <f t="shared" si="2"/>
        <v>120050.17083333334</v>
      </c>
    </row>
    <row r="18" spans="1:11" s="154" customFormat="1" ht="24">
      <c r="A18" s="223">
        <f t="shared" si="1"/>
        <v>14</v>
      </c>
      <c r="B18" s="354">
        <v>126</v>
      </c>
      <c r="C18" s="231" t="s">
        <v>257</v>
      </c>
      <c r="D18" s="243">
        <f>46582664.83-29609476.13</f>
        <v>16973188.7</v>
      </c>
      <c r="E18" s="243">
        <f>-612582.46+29609476.13</f>
        <v>28996893.669999998</v>
      </c>
      <c r="F18" s="243">
        <v>770673.37</v>
      </c>
      <c r="G18" s="243">
        <v>2106880.24</v>
      </c>
      <c r="H18" s="243">
        <f>SUM(D18:G18)</f>
        <v>48847635.98</v>
      </c>
      <c r="I18" s="250">
        <v>26</v>
      </c>
      <c r="J18" s="240" t="s">
        <v>4</v>
      </c>
      <c r="K18" s="243">
        <f t="shared" si="2"/>
        <v>1878755.23</v>
      </c>
    </row>
    <row r="19" spans="1:11" s="154" customFormat="1" ht="24" customHeight="1">
      <c r="A19" s="223">
        <f t="shared" si="1"/>
        <v>15</v>
      </c>
      <c r="B19" s="354">
        <v>129</v>
      </c>
      <c r="C19" s="231" t="s">
        <v>258</v>
      </c>
      <c r="D19" s="243">
        <v>6978663.71</v>
      </c>
      <c r="E19" s="243">
        <v>38108.35</v>
      </c>
      <c r="F19" s="243">
        <v>370291.62</v>
      </c>
      <c r="G19" s="243">
        <v>59768.98</v>
      </c>
      <c r="H19" s="243">
        <f t="shared" si="0"/>
        <v>7446832.66</v>
      </c>
      <c r="I19" s="250">
        <v>35</v>
      </c>
      <c r="J19" s="240" t="s">
        <v>4</v>
      </c>
      <c r="K19" s="243">
        <f t="shared" si="2"/>
        <v>212766.64742857142</v>
      </c>
    </row>
    <row r="20" spans="1:11" s="154" customFormat="1" ht="24" customHeight="1">
      <c r="A20" s="223">
        <f t="shared" si="1"/>
        <v>16</v>
      </c>
      <c r="B20" s="354">
        <v>136</v>
      </c>
      <c r="C20" s="231" t="s">
        <v>259</v>
      </c>
      <c r="D20" s="243">
        <v>24978613.2</v>
      </c>
      <c r="E20" s="243">
        <v>27946.12</v>
      </c>
      <c r="F20" s="243">
        <v>247126.37</v>
      </c>
      <c r="G20" s="243">
        <v>87134.6</v>
      </c>
      <c r="H20" s="243">
        <f t="shared" si="0"/>
        <v>25340820.290000003</v>
      </c>
      <c r="I20" s="250">
        <v>270</v>
      </c>
      <c r="J20" s="240" t="s">
        <v>4</v>
      </c>
      <c r="K20" s="243">
        <f t="shared" si="2"/>
        <v>93854.88996296297</v>
      </c>
    </row>
    <row r="21" spans="1:11" s="154" customFormat="1" ht="24" customHeight="1">
      <c r="A21" s="223">
        <f t="shared" si="1"/>
        <v>17</v>
      </c>
      <c r="B21" s="354">
        <v>142</v>
      </c>
      <c r="C21" s="231" t="s">
        <v>284</v>
      </c>
      <c r="D21" s="243">
        <v>24978613.19</v>
      </c>
      <c r="E21" s="243">
        <v>27946.13</v>
      </c>
      <c r="F21" s="243">
        <v>247126.38</v>
      </c>
      <c r="G21" s="243">
        <v>87134.6</v>
      </c>
      <c r="H21" s="243">
        <f t="shared" si="0"/>
        <v>25340820.3</v>
      </c>
      <c r="I21" s="250">
        <v>1027</v>
      </c>
      <c r="J21" s="240" t="s">
        <v>6</v>
      </c>
      <c r="K21" s="243">
        <f t="shared" si="2"/>
        <v>24674.60593962999</v>
      </c>
    </row>
    <row r="22" spans="1:11" s="154" customFormat="1" ht="24">
      <c r="A22" s="223">
        <f t="shared" si="1"/>
        <v>18</v>
      </c>
      <c r="B22" s="354">
        <v>135</v>
      </c>
      <c r="C22" s="231" t="s">
        <v>260</v>
      </c>
      <c r="D22" s="243">
        <f>6978663.71+6814806.64</f>
        <v>13793470.35</v>
      </c>
      <c r="E22" s="243">
        <f>38108.35+26675.85</f>
        <v>64784.2</v>
      </c>
      <c r="F22" s="243">
        <f>370291.62+234511.39</f>
        <v>604803.01</v>
      </c>
      <c r="G22" s="243">
        <f>59768.98+46176.29</f>
        <v>105945.27</v>
      </c>
      <c r="H22" s="243">
        <f>SUM(D22:G22)</f>
        <v>14569002.829999998</v>
      </c>
      <c r="I22" s="250">
        <v>1</v>
      </c>
      <c r="J22" s="240" t="s">
        <v>4</v>
      </c>
      <c r="K22" s="243">
        <f t="shared" si="2"/>
        <v>14569002.829999998</v>
      </c>
    </row>
    <row r="23" spans="1:11" s="154" customFormat="1" ht="24" customHeight="1">
      <c r="A23" s="223">
        <f t="shared" si="1"/>
        <v>19</v>
      </c>
      <c r="B23" s="354">
        <v>131</v>
      </c>
      <c r="C23" s="231" t="s">
        <v>280</v>
      </c>
      <c r="D23" s="243">
        <f>2492953.59-51440.4</f>
        <v>2441513.19</v>
      </c>
      <c r="E23" s="243">
        <f>1008302.29+51440.4</f>
        <v>1059742.69</v>
      </c>
      <c r="F23" s="243">
        <v>54859.44</v>
      </c>
      <c r="G23" s="243">
        <v>12033.93</v>
      </c>
      <c r="H23" s="243">
        <f t="shared" si="0"/>
        <v>3568149.25</v>
      </c>
      <c r="I23" s="250">
        <v>13</v>
      </c>
      <c r="J23" s="240" t="s">
        <v>4</v>
      </c>
      <c r="K23" s="243">
        <f t="shared" si="2"/>
        <v>274473.01923076925</v>
      </c>
    </row>
    <row r="24" spans="1:11" s="154" customFormat="1" ht="24">
      <c r="A24" s="223">
        <f t="shared" si="1"/>
        <v>20</v>
      </c>
      <c r="B24" s="354">
        <v>132</v>
      </c>
      <c r="C24" s="231" t="s">
        <v>261</v>
      </c>
      <c r="D24" s="243">
        <f>1806863.58-37283.4</f>
        <v>1769580.1800000002</v>
      </c>
      <c r="E24" s="243">
        <f>730805.71+37283.4</f>
        <v>768089.11</v>
      </c>
      <c r="F24" s="243">
        <v>39761.48</v>
      </c>
      <c r="G24" s="243">
        <v>8722.05</v>
      </c>
      <c r="H24" s="243">
        <f t="shared" si="0"/>
        <v>2586152.82</v>
      </c>
      <c r="I24" s="250">
        <v>8</v>
      </c>
      <c r="J24" s="240" t="s">
        <v>4</v>
      </c>
      <c r="K24" s="243">
        <f t="shared" si="2"/>
        <v>323269.1025</v>
      </c>
    </row>
    <row r="25" spans="1:11" s="154" customFormat="1" ht="24">
      <c r="A25" s="223">
        <f t="shared" si="1"/>
        <v>21</v>
      </c>
      <c r="B25" s="354">
        <v>133</v>
      </c>
      <c r="C25" s="231" t="s">
        <v>262</v>
      </c>
      <c r="D25" s="243">
        <f>2180134.92-44985.6</f>
        <v>2135149.32</v>
      </c>
      <c r="E25" s="243">
        <f>881779.38+44985.6</f>
        <v>926764.98</v>
      </c>
      <c r="F25" s="243">
        <v>47975.62</v>
      </c>
      <c r="G25" s="243">
        <v>10523.9</v>
      </c>
      <c r="H25" s="243">
        <f t="shared" si="0"/>
        <v>3120413.82</v>
      </c>
      <c r="I25" s="250">
        <v>10</v>
      </c>
      <c r="J25" s="240" t="s">
        <v>4</v>
      </c>
      <c r="K25" s="243">
        <f t="shared" si="2"/>
        <v>312041.382</v>
      </c>
    </row>
    <row r="26" spans="1:11" s="154" customFormat="1" ht="48">
      <c r="A26" s="346">
        <f t="shared" si="1"/>
        <v>22</v>
      </c>
      <c r="B26" s="355">
        <v>143</v>
      </c>
      <c r="C26" s="232" t="s">
        <v>283</v>
      </c>
      <c r="D26" s="243">
        <f>9595664.27-198000</f>
        <v>9397664.27</v>
      </c>
      <c r="E26" s="243">
        <f>3881071.19+198000</f>
        <v>4079071.19</v>
      </c>
      <c r="F26" s="243">
        <v>211160.29</v>
      </c>
      <c r="G26" s="243">
        <v>46319.99</v>
      </c>
      <c r="H26" s="243">
        <f t="shared" si="0"/>
        <v>13734215.739999998</v>
      </c>
      <c r="I26" s="250">
        <v>11</v>
      </c>
      <c r="J26" s="240" t="s">
        <v>4</v>
      </c>
      <c r="K26" s="243">
        <f t="shared" si="2"/>
        <v>1248565.0672727271</v>
      </c>
    </row>
    <row r="27" spans="1:11" s="154" customFormat="1" ht="24">
      <c r="A27" s="223">
        <f t="shared" si="1"/>
        <v>23</v>
      </c>
      <c r="B27" s="354"/>
      <c r="C27" s="231" t="s">
        <v>281</v>
      </c>
      <c r="D27" s="243">
        <f>2492953.58-51440.4</f>
        <v>2441513.18</v>
      </c>
      <c r="E27" s="243">
        <f>1008302.29+51440.4</f>
        <v>1059742.69</v>
      </c>
      <c r="F27" s="243">
        <v>54859.45</v>
      </c>
      <c r="G27" s="243">
        <v>12033.93</v>
      </c>
      <c r="H27" s="243">
        <f t="shared" si="0"/>
        <v>3568149.2500000005</v>
      </c>
      <c r="I27" s="250">
        <v>1</v>
      </c>
      <c r="J27" s="240" t="s">
        <v>4</v>
      </c>
      <c r="K27" s="243">
        <f t="shared" si="2"/>
        <v>3568149.2500000005</v>
      </c>
    </row>
    <row r="28" spans="1:11" s="154" customFormat="1" ht="24">
      <c r="A28" s="223">
        <f t="shared" si="1"/>
        <v>24</v>
      </c>
      <c r="B28" s="354">
        <v>138</v>
      </c>
      <c r="C28" s="231" t="s">
        <v>282</v>
      </c>
      <c r="D28" s="243">
        <f>622758.61-12850.2</f>
        <v>609908.41</v>
      </c>
      <c r="E28" s="243">
        <f>251881.52+12850.2</f>
        <v>264731.72</v>
      </c>
      <c r="F28" s="243">
        <v>13704.3</v>
      </c>
      <c r="G28" s="243">
        <v>3006.17</v>
      </c>
      <c r="H28" s="243">
        <f t="shared" si="0"/>
        <v>891350.6000000001</v>
      </c>
      <c r="I28" s="250">
        <v>1</v>
      </c>
      <c r="J28" s="240" t="s">
        <v>4</v>
      </c>
      <c r="K28" s="243">
        <f t="shared" si="2"/>
        <v>891350.6000000001</v>
      </c>
    </row>
    <row r="29" spans="1:11" s="154" customFormat="1" ht="24" customHeight="1">
      <c r="A29" s="223">
        <f t="shared" si="1"/>
        <v>25</v>
      </c>
      <c r="B29" s="354">
        <v>130</v>
      </c>
      <c r="C29" s="225" t="s">
        <v>263</v>
      </c>
      <c r="D29" s="243">
        <v>25767149.7</v>
      </c>
      <c r="E29" s="243">
        <v>45802.32</v>
      </c>
      <c r="F29" s="243">
        <v>1678576.16</v>
      </c>
      <c r="G29" s="243">
        <v>2010981.84</v>
      </c>
      <c r="H29" s="243">
        <f>SUM(D29:G29)</f>
        <v>29502510.02</v>
      </c>
      <c r="I29" s="250">
        <v>2255</v>
      </c>
      <c r="J29" s="240" t="s">
        <v>6</v>
      </c>
      <c r="K29" s="243">
        <f t="shared" si="2"/>
        <v>13083.153002217296</v>
      </c>
    </row>
    <row r="30" spans="1:11" s="154" customFormat="1" ht="24" customHeight="1">
      <c r="A30" s="223">
        <f>+A29+1</f>
        <v>26</v>
      </c>
      <c r="B30" s="354">
        <v>127</v>
      </c>
      <c r="C30" s="225" t="s">
        <v>264</v>
      </c>
      <c r="D30" s="243">
        <v>46885771.82</v>
      </c>
      <c r="E30" s="243">
        <v>513192.46</v>
      </c>
      <c r="F30" s="243">
        <v>5151951.32</v>
      </c>
      <c r="G30" s="243">
        <v>823024.31</v>
      </c>
      <c r="H30" s="243">
        <f t="shared" si="0"/>
        <v>53373939.910000004</v>
      </c>
      <c r="I30" s="250">
        <v>1384</v>
      </c>
      <c r="J30" s="240" t="s">
        <v>97</v>
      </c>
      <c r="K30" s="243">
        <f t="shared" si="2"/>
        <v>38564.98548410405</v>
      </c>
    </row>
    <row r="31" spans="1:11" s="154" customFormat="1" ht="24">
      <c r="A31" s="226"/>
      <c r="B31" s="354"/>
      <c r="C31" s="227" t="s">
        <v>327</v>
      </c>
      <c r="D31" s="343"/>
      <c r="E31" s="343"/>
      <c r="F31" s="343"/>
      <c r="G31" s="343"/>
      <c r="H31" s="343"/>
      <c r="I31" s="251"/>
      <c r="J31" s="242"/>
      <c r="K31" s="243"/>
    </row>
    <row r="32" spans="1:11" ht="24">
      <c r="A32" s="226">
        <v>1</v>
      </c>
      <c r="B32" s="354">
        <v>100</v>
      </c>
      <c r="C32" s="225" t="s">
        <v>265</v>
      </c>
      <c r="D32" s="343">
        <v>3548808.36</v>
      </c>
      <c r="E32" s="343">
        <v>48272.77</v>
      </c>
      <c r="F32" s="343">
        <v>393399.43</v>
      </c>
      <c r="G32" s="343">
        <v>71722.78</v>
      </c>
      <c r="H32" s="343">
        <f aca="true" t="shared" si="3" ref="H32:H47">SUM(D32:G32)</f>
        <v>4062203.34</v>
      </c>
      <c r="I32" s="251">
        <v>20344</v>
      </c>
      <c r="J32" s="242" t="s">
        <v>7</v>
      </c>
      <c r="K32" s="243">
        <f aca="true" t="shared" si="4" ref="K32:K46">H32/I32</f>
        <v>199.67574419976404</v>
      </c>
    </row>
    <row r="33" spans="1:11" ht="24">
      <c r="A33" s="226">
        <f>+A32+1</f>
        <v>2</v>
      </c>
      <c r="B33" s="354">
        <v>101</v>
      </c>
      <c r="C33" s="225" t="s">
        <v>266</v>
      </c>
      <c r="D33" s="343">
        <v>3548808.36</v>
      </c>
      <c r="E33" s="343">
        <v>48272.77</v>
      </c>
      <c r="F33" s="343">
        <v>393399.43</v>
      </c>
      <c r="G33" s="343">
        <v>71722.77</v>
      </c>
      <c r="H33" s="343">
        <f t="shared" si="3"/>
        <v>4062203.33</v>
      </c>
      <c r="I33" s="251">
        <v>1666</v>
      </c>
      <c r="J33" s="242" t="s">
        <v>4</v>
      </c>
      <c r="K33" s="243">
        <f t="shared" si="4"/>
        <v>2438.2973169267707</v>
      </c>
    </row>
    <row r="34" spans="1:11" ht="24">
      <c r="A34" s="226">
        <f aca="true" t="shared" si="5" ref="A34:A48">+A33+1</f>
        <v>3</v>
      </c>
      <c r="B34" s="354">
        <v>102</v>
      </c>
      <c r="C34" s="225" t="s">
        <v>267</v>
      </c>
      <c r="D34" s="343">
        <v>2803047.43</v>
      </c>
      <c r="E34" s="343">
        <v>50034.97</v>
      </c>
      <c r="F34" s="343">
        <v>141653.96</v>
      </c>
      <c r="G34" s="343">
        <v>26655.35</v>
      </c>
      <c r="H34" s="343">
        <f>SUM(D34:G34)</f>
        <v>3021391.7100000004</v>
      </c>
      <c r="I34" s="251">
        <v>455</v>
      </c>
      <c r="J34" s="242" t="s">
        <v>6</v>
      </c>
      <c r="K34" s="243">
        <f>H34/I34</f>
        <v>6640.421340659342</v>
      </c>
    </row>
    <row r="35" spans="1:11" ht="24">
      <c r="A35" s="226">
        <f t="shared" si="5"/>
        <v>4</v>
      </c>
      <c r="B35" s="354">
        <v>103</v>
      </c>
      <c r="C35" s="225" t="s">
        <v>268</v>
      </c>
      <c r="D35" s="343">
        <v>6540444</v>
      </c>
      <c r="E35" s="343">
        <v>116748.28</v>
      </c>
      <c r="F35" s="343">
        <v>330525.91</v>
      </c>
      <c r="G35" s="343">
        <v>62195.82</v>
      </c>
      <c r="H35" s="343">
        <f t="shared" si="3"/>
        <v>7049914.010000001</v>
      </c>
      <c r="I35" s="251">
        <v>9153</v>
      </c>
      <c r="J35" s="242" t="s">
        <v>42</v>
      </c>
      <c r="K35" s="243">
        <f t="shared" si="4"/>
        <v>770.2298710805201</v>
      </c>
    </row>
    <row r="36" spans="1:11" ht="24">
      <c r="A36" s="226">
        <f t="shared" si="5"/>
        <v>5</v>
      </c>
      <c r="B36" s="354">
        <v>104</v>
      </c>
      <c r="C36" s="225" t="s">
        <v>269</v>
      </c>
      <c r="D36" s="343">
        <v>1922607.48</v>
      </c>
      <c r="E36" s="343">
        <v>20324.45</v>
      </c>
      <c r="F36" s="343">
        <v>215492.5</v>
      </c>
      <c r="G36" s="343">
        <v>31876.79</v>
      </c>
      <c r="H36" s="343">
        <f t="shared" si="3"/>
        <v>2190301.2199999997</v>
      </c>
      <c r="I36" s="251">
        <v>760</v>
      </c>
      <c r="J36" s="242" t="s">
        <v>8</v>
      </c>
      <c r="K36" s="243">
        <f t="shared" si="4"/>
        <v>2881.975289473684</v>
      </c>
    </row>
    <row r="37" spans="1:11" ht="48">
      <c r="A37" s="226">
        <f t="shared" si="5"/>
        <v>6</v>
      </c>
      <c r="B37" s="354">
        <v>105</v>
      </c>
      <c r="C37" s="232" t="s">
        <v>270</v>
      </c>
      <c r="D37" s="344">
        <f>19939893.23-3293671.75</f>
        <v>16646221.48</v>
      </c>
      <c r="E37" s="344">
        <f>-3250989.2+3293671.75</f>
        <v>42682.549999999814</v>
      </c>
      <c r="F37" s="344">
        <v>429798.14</v>
      </c>
      <c r="G37" s="344">
        <v>5407168.39</v>
      </c>
      <c r="H37" s="344">
        <f t="shared" si="3"/>
        <v>22525870.560000002</v>
      </c>
      <c r="I37" s="347">
        <v>1117</v>
      </c>
      <c r="J37" s="298" t="s">
        <v>90</v>
      </c>
      <c r="K37" s="243">
        <f t="shared" si="4"/>
        <v>20166.401575649063</v>
      </c>
    </row>
    <row r="38" spans="1:11" ht="24">
      <c r="A38" s="226">
        <f t="shared" si="5"/>
        <v>7</v>
      </c>
      <c r="B38" s="354">
        <v>106</v>
      </c>
      <c r="C38" s="225" t="s">
        <v>271</v>
      </c>
      <c r="D38" s="344">
        <f>29909839.85-4940507.62</f>
        <v>24969332.23</v>
      </c>
      <c r="E38" s="344">
        <f>-4876483.79+4940507.62</f>
        <v>64023.830000000075</v>
      </c>
      <c r="F38" s="344">
        <v>644697.22</v>
      </c>
      <c r="G38" s="344">
        <v>8110752.56</v>
      </c>
      <c r="H38" s="344">
        <f t="shared" si="3"/>
        <v>33788805.84</v>
      </c>
      <c r="I38" s="299">
        <v>1</v>
      </c>
      <c r="J38" s="300" t="s">
        <v>89</v>
      </c>
      <c r="K38" s="243">
        <f t="shared" si="4"/>
        <v>33788805.84</v>
      </c>
    </row>
    <row r="39" spans="1:11" ht="24">
      <c r="A39" s="226">
        <f t="shared" si="5"/>
        <v>8</v>
      </c>
      <c r="B39" s="354">
        <v>107</v>
      </c>
      <c r="C39" s="225" t="s">
        <v>272</v>
      </c>
      <c r="D39" s="344">
        <v>12266651.97</v>
      </c>
      <c r="E39" s="344">
        <v>48016.52</v>
      </c>
      <c r="F39" s="344">
        <v>422120.5</v>
      </c>
      <c r="G39" s="344">
        <v>83117.31</v>
      </c>
      <c r="H39" s="344">
        <f>SUM(D39:G39)</f>
        <v>12819906.3</v>
      </c>
      <c r="I39" s="299">
        <v>1</v>
      </c>
      <c r="J39" s="300" t="s">
        <v>86</v>
      </c>
      <c r="K39" s="243">
        <f>H39/I39</f>
        <v>12819906.3</v>
      </c>
    </row>
    <row r="40" spans="1:11" ht="24">
      <c r="A40" s="316">
        <f t="shared" si="5"/>
        <v>9</v>
      </c>
      <c r="B40" s="359">
        <v>108</v>
      </c>
      <c r="C40" s="225" t="s">
        <v>273</v>
      </c>
      <c r="D40" s="344">
        <v>1237645.17</v>
      </c>
      <c r="E40" s="344">
        <v>14227.12</v>
      </c>
      <c r="F40" s="344">
        <v>130682.05</v>
      </c>
      <c r="G40" s="344">
        <v>23511.35</v>
      </c>
      <c r="H40" s="344">
        <f t="shared" si="3"/>
        <v>1406065.6900000002</v>
      </c>
      <c r="I40" s="299">
        <v>1</v>
      </c>
      <c r="J40" s="300" t="s">
        <v>86</v>
      </c>
      <c r="K40" s="243">
        <f t="shared" si="4"/>
        <v>1406065.6900000002</v>
      </c>
    </row>
    <row r="41" spans="1:11" ht="24">
      <c r="A41" s="226">
        <f t="shared" si="5"/>
        <v>10</v>
      </c>
      <c r="B41" s="354">
        <v>139</v>
      </c>
      <c r="C41" s="225" t="s">
        <v>285</v>
      </c>
      <c r="D41" s="344">
        <v>1237645.17</v>
      </c>
      <c r="E41" s="344">
        <v>14227.12</v>
      </c>
      <c r="F41" s="344">
        <v>130682.05</v>
      </c>
      <c r="G41" s="344">
        <v>23511.35</v>
      </c>
      <c r="H41" s="344">
        <f t="shared" si="3"/>
        <v>1406065.6900000002</v>
      </c>
      <c r="I41" s="299">
        <v>1</v>
      </c>
      <c r="J41" s="300" t="s">
        <v>86</v>
      </c>
      <c r="K41" s="243">
        <f>H41/I41</f>
        <v>1406065.6900000002</v>
      </c>
    </row>
    <row r="42" spans="1:11" ht="24">
      <c r="A42" s="226">
        <f t="shared" si="5"/>
        <v>11</v>
      </c>
      <c r="B42" s="354">
        <v>140</v>
      </c>
      <c r="C42" s="225" t="s">
        <v>286</v>
      </c>
      <c r="D42" s="344">
        <v>618822.59</v>
      </c>
      <c r="E42" s="344">
        <v>7113.55</v>
      </c>
      <c r="F42" s="344">
        <v>65341.02</v>
      </c>
      <c r="G42" s="344">
        <v>11755.68</v>
      </c>
      <c r="H42" s="344">
        <f t="shared" si="3"/>
        <v>703032.8400000001</v>
      </c>
      <c r="I42" s="299">
        <v>1</v>
      </c>
      <c r="J42" s="300" t="s">
        <v>86</v>
      </c>
      <c r="K42" s="243">
        <f>H42/I42</f>
        <v>703032.8400000001</v>
      </c>
    </row>
    <row r="43" spans="1:11" ht="72" customHeight="1">
      <c r="A43" s="226">
        <f t="shared" si="5"/>
        <v>12</v>
      </c>
      <c r="B43" s="354">
        <v>109</v>
      </c>
      <c r="C43" s="277" t="s">
        <v>274</v>
      </c>
      <c r="D43" s="344">
        <v>6061763.17</v>
      </c>
      <c r="E43" s="344">
        <v>100606.05</v>
      </c>
      <c r="F43" s="344">
        <v>415012.43</v>
      </c>
      <c r="G43" s="344">
        <v>172492.49</v>
      </c>
      <c r="H43" s="344">
        <f t="shared" si="3"/>
        <v>6749874.14</v>
      </c>
      <c r="I43" s="340">
        <f>33137+33491</f>
        <v>66628</v>
      </c>
      <c r="J43" s="298" t="s">
        <v>87</v>
      </c>
      <c r="K43" s="243">
        <f t="shared" si="4"/>
        <v>101.30687008464909</v>
      </c>
    </row>
    <row r="44" spans="1:11" ht="48.75" customHeight="1">
      <c r="A44" s="226">
        <f t="shared" si="5"/>
        <v>13</v>
      </c>
      <c r="B44" s="354">
        <v>110</v>
      </c>
      <c r="C44" s="231" t="s">
        <v>275</v>
      </c>
      <c r="D44" s="344">
        <v>4041175.44</v>
      </c>
      <c r="E44" s="344">
        <v>67070.7</v>
      </c>
      <c r="F44" s="344">
        <v>276674.95</v>
      </c>
      <c r="G44" s="344">
        <v>114995</v>
      </c>
      <c r="H44" s="344">
        <f t="shared" si="3"/>
        <v>4499916.09</v>
      </c>
      <c r="I44" s="340">
        <v>101253</v>
      </c>
      <c r="J44" s="306" t="s">
        <v>88</v>
      </c>
      <c r="K44" s="243">
        <f t="shared" si="4"/>
        <v>44.44229889484756</v>
      </c>
    </row>
    <row r="45" spans="1:11" ht="24">
      <c r="A45" s="226">
        <f t="shared" si="5"/>
        <v>14</v>
      </c>
      <c r="B45" s="354">
        <v>114</v>
      </c>
      <c r="C45" s="225" t="s">
        <v>276</v>
      </c>
      <c r="D45" s="344">
        <v>11312528.71</v>
      </c>
      <c r="E45" s="344">
        <v>94623.09</v>
      </c>
      <c r="F45" s="344">
        <v>834575.73</v>
      </c>
      <c r="G45" s="344">
        <v>844839.64</v>
      </c>
      <c r="H45" s="344">
        <f t="shared" si="3"/>
        <v>13086567.170000002</v>
      </c>
      <c r="I45" s="299">
        <v>1</v>
      </c>
      <c r="J45" s="300" t="s">
        <v>98</v>
      </c>
      <c r="K45" s="243">
        <f t="shared" si="4"/>
        <v>13086567.170000002</v>
      </c>
    </row>
    <row r="46" spans="1:11" ht="48">
      <c r="A46" s="297">
        <f t="shared" si="5"/>
        <v>15</v>
      </c>
      <c r="B46" s="355">
        <v>111</v>
      </c>
      <c r="C46" s="301" t="s">
        <v>277</v>
      </c>
      <c r="D46" s="345">
        <v>6521067.05</v>
      </c>
      <c r="E46" s="345">
        <v>76216.7</v>
      </c>
      <c r="F46" s="345">
        <v>670767.12</v>
      </c>
      <c r="G46" s="345">
        <v>124436.96</v>
      </c>
      <c r="H46" s="345">
        <f t="shared" si="3"/>
        <v>7392487.83</v>
      </c>
      <c r="I46" s="302">
        <v>10509</v>
      </c>
      <c r="J46" s="303" t="s">
        <v>99</v>
      </c>
      <c r="K46" s="243">
        <f t="shared" si="4"/>
        <v>703.4435084213532</v>
      </c>
    </row>
    <row r="47" spans="1:11" ht="24">
      <c r="A47" s="226">
        <f t="shared" si="5"/>
        <v>16</v>
      </c>
      <c r="B47" s="354">
        <v>112</v>
      </c>
      <c r="C47" s="225" t="s">
        <v>278</v>
      </c>
      <c r="D47" s="344">
        <v>4917534.42</v>
      </c>
      <c r="E47" s="344">
        <v>45730.02</v>
      </c>
      <c r="F47" s="344">
        <v>370375.84</v>
      </c>
      <c r="G47" s="344">
        <v>133097.78</v>
      </c>
      <c r="H47" s="344">
        <f t="shared" si="3"/>
        <v>5466738.06</v>
      </c>
      <c r="I47" s="299">
        <v>93</v>
      </c>
      <c r="J47" s="300" t="s">
        <v>4</v>
      </c>
      <c r="K47" s="243">
        <f>H47/I47</f>
        <v>58782.12967741935</v>
      </c>
    </row>
    <row r="48" spans="1:11" ht="48">
      <c r="A48" s="226">
        <f t="shared" si="5"/>
        <v>17</v>
      </c>
      <c r="B48" s="354">
        <v>113</v>
      </c>
      <c r="C48" s="231" t="s">
        <v>279</v>
      </c>
      <c r="D48" s="344">
        <v>3368441.28</v>
      </c>
      <c r="E48" s="344">
        <v>30486.68</v>
      </c>
      <c r="F48" s="344">
        <v>279013.25</v>
      </c>
      <c r="G48" s="344">
        <v>47815.18</v>
      </c>
      <c r="H48" s="344">
        <f>SUM(D48:G48)</f>
        <v>3725756.39</v>
      </c>
      <c r="I48" s="340">
        <f>684+1182+70+935</f>
        <v>2871</v>
      </c>
      <c r="J48" s="298" t="s">
        <v>100</v>
      </c>
      <c r="K48" s="243">
        <f>H48/I48</f>
        <v>1297.7207906652734</v>
      </c>
    </row>
    <row r="49" spans="1:11" ht="24.75" thickBot="1">
      <c r="A49" s="229"/>
      <c r="B49" s="361"/>
      <c r="C49" s="228" t="s">
        <v>27</v>
      </c>
      <c r="D49" s="245">
        <f>SUM(D5:D48)</f>
        <v>730076249.3699999</v>
      </c>
      <c r="E49" s="245">
        <f>SUM(E5:E48)</f>
        <v>39593337.13</v>
      </c>
      <c r="F49" s="245">
        <f>SUM(F5:F48)</f>
        <v>20071675.44</v>
      </c>
      <c r="G49" s="245">
        <f>SUM(G5:G48)</f>
        <v>27579004.59</v>
      </c>
      <c r="H49" s="245">
        <f>SUM(H5:H48)</f>
        <v>817320266.5300003</v>
      </c>
      <c r="I49" s="252"/>
      <c r="J49" s="244"/>
      <c r="K49" s="245"/>
    </row>
    <row r="50" spans="4:11" ht="24.75" thickTop="1">
      <c r="D50" s="25"/>
      <c r="E50" s="25"/>
      <c r="F50" s="25"/>
      <c r="G50" s="25"/>
      <c r="H50" s="25"/>
      <c r="I50" s="25"/>
      <c r="J50" s="25"/>
      <c r="K50" s="25"/>
    </row>
  </sheetData>
  <sheetProtection/>
  <printOptions horizontalCentered="1"/>
  <pageMargins left="0.669291338582677" right="0.47244094488189" top="0.590551181102362" bottom="0.840551181" header="0.511811023622047" footer="0.511811023622047"/>
  <pageSetup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64"/>
  <sheetViews>
    <sheetView zoomScaleSheetLayoutView="131" zoomScalePageLayoutView="0" workbookViewId="0" topLeftCell="A1">
      <pane xSplit="3" ySplit="3" topLeftCell="D7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9.140625" defaultRowHeight="12.75"/>
  <cols>
    <col min="1" max="1" width="3.28125" style="25" bestFit="1" customWidth="1"/>
    <col min="2" max="2" width="9.8515625" style="154" customWidth="1"/>
    <col min="3" max="3" width="61.421875" style="25" customWidth="1"/>
    <col min="4" max="4" width="20.140625" style="247" customWidth="1"/>
    <col min="5" max="5" width="19.140625" style="247" customWidth="1"/>
    <col min="6" max="6" width="18.00390625" style="247" customWidth="1"/>
    <col min="7" max="7" width="17.8515625" style="247" customWidth="1"/>
    <col min="8" max="8" width="23.421875" style="247" customWidth="1"/>
    <col min="9" max="9" width="12.7109375" style="253" bestFit="1" customWidth="1"/>
    <col min="10" max="10" width="13.421875" style="246" bestFit="1" customWidth="1"/>
    <col min="11" max="11" width="28.00390625" style="247" customWidth="1"/>
    <col min="12" max="16384" width="9.140625" style="25" customWidth="1"/>
  </cols>
  <sheetData>
    <row r="1" spans="2:13" s="161" customFormat="1" ht="24">
      <c r="B1" s="254"/>
      <c r="C1" s="160" t="s">
        <v>117</v>
      </c>
      <c r="D1" s="235"/>
      <c r="E1" s="235"/>
      <c r="F1" s="235"/>
      <c r="G1" s="235"/>
      <c r="H1" s="235"/>
      <c r="I1" s="248"/>
      <c r="J1" s="234"/>
      <c r="K1" s="235"/>
      <c r="L1" s="254"/>
      <c r="M1" s="254"/>
    </row>
    <row r="2" spans="2:11" s="161" customFormat="1" ht="24">
      <c r="B2" s="254"/>
      <c r="D2" s="235"/>
      <c r="E2" s="235"/>
      <c r="F2" s="235"/>
      <c r="G2" s="235"/>
      <c r="H2" s="235"/>
      <c r="I2" s="248"/>
      <c r="J2" s="236"/>
      <c r="K2" s="237" t="s">
        <v>17</v>
      </c>
    </row>
    <row r="3" spans="1:11" s="162" customFormat="1" ht="48">
      <c r="A3" s="221"/>
      <c r="B3" s="353"/>
      <c r="C3" s="222" t="s">
        <v>14</v>
      </c>
      <c r="D3" s="239" t="s">
        <v>0</v>
      </c>
      <c r="E3" s="239" t="s">
        <v>1</v>
      </c>
      <c r="F3" s="239" t="s">
        <v>2</v>
      </c>
      <c r="G3" s="239" t="s">
        <v>3</v>
      </c>
      <c r="H3" s="239" t="s">
        <v>11</v>
      </c>
      <c r="I3" s="249" t="s">
        <v>9</v>
      </c>
      <c r="J3" s="238" t="s">
        <v>10</v>
      </c>
      <c r="K3" s="239" t="s">
        <v>12</v>
      </c>
    </row>
    <row r="4" spans="1:11" s="154" customFormat="1" ht="24">
      <c r="A4" s="223"/>
      <c r="B4" s="354"/>
      <c r="C4" s="224" t="s">
        <v>15</v>
      </c>
      <c r="D4" s="241"/>
      <c r="E4" s="241"/>
      <c r="F4" s="241"/>
      <c r="G4" s="241"/>
      <c r="H4" s="241"/>
      <c r="I4" s="250"/>
      <c r="J4" s="240"/>
      <c r="K4" s="241"/>
    </row>
    <row r="5" spans="1:11" s="154" customFormat="1" ht="24">
      <c r="A5" s="223">
        <v>1</v>
      </c>
      <c r="B5" s="354">
        <v>115</v>
      </c>
      <c r="C5" s="225" t="s">
        <v>246</v>
      </c>
      <c r="D5" s="243">
        <v>8794721.068257986</v>
      </c>
      <c r="E5" s="243">
        <v>13639.787284263955</v>
      </c>
      <c r="F5" s="243">
        <v>828853.7804314721</v>
      </c>
      <c r="G5" s="243">
        <v>19751.936243654818</v>
      </c>
      <c r="H5" s="243">
        <f aca="true" t="shared" si="0" ref="H5:H36">SUM(D5:G5)</f>
        <v>9656966.572217377</v>
      </c>
      <c r="I5" s="250">
        <v>65</v>
      </c>
      <c r="J5" s="240" t="s">
        <v>4</v>
      </c>
      <c r="K5" s="243">
        <f>H5/I5</f>
        <v>148568.71649565196</v>
      </c>
    </row>
    <row r="6" spans="1:11" s="154" customFormat="1" ht="24">
      <c r="A6" s="223">
        <f>+A5+1</f>
        <v>2</v>
      </c>
      <c r="B6" s="354">
        <v>116</v>
      </c>
      <c r="C6" s="225" t="s">
        <v>247</v>
      </c>
      <c r="D6" s="243">
        <v>9720486.710521333</v>
      </c>
      <c r="E6" s="243">
        <v>10299.431214648293</v>
      </c>
      <c r="F6" s="243">
        <v>625869.181142132</v>
      </c>
      <c r="G6" s="243">
        <v>14914.727367657719</v>
      </c>
      <c r="H6" s="243">
        <f t="shared" si="0"/>
        <v>10371570.050245771</v>
      </c>
      <c r="I6" s="250">
        <v>50</v>
      </c>
      <c r="J6" s="240" t="s">
        <v>4</v>
      </c>
      <c r="K6" s="243">
        <f>H6/I6</f>
        <v>207431.40100491542</v>
      </c>
    </row>
    <row r="7" spans="1:11" s="154" customFormat="1" ht="24">
      <c r="A7" s="223">
        <f aca="true" t="shared" si="1" ref="A7:A36">+A6+1</f>
        <v>3</v>
      </c>
      <c r="B7" s="354">
        <v>117</v>
      </c>
      <c r="C7" s="231" t="s">
        <v>248</v>
      </c>
      <c r="D7" s="243">
        <v>1839694.4223594237</v>
      </c>
      <c r="E7" s="243">
        <v>3897.0820812182733</v>
      </c>
      <c r="F7" s="243">
        <v>236815.36583756344</v>
      </c>
      <c r="G7" s="243">
        <v>5643.410355329947</v>
      </c>
      <c r="H7" s="243">
        <f t="shared" si="0"/>
        <v>2086050.2806335355</v>
      </c>
      <c r="I7" s="250">
        <v>19</v>
      </c>
      <c r="J7" s="240" t="s">
        <v>4</v>
      </c>
      <c r="K7" s="243">
        <f aca="true" t="shared" si="2" ref="K7:K36">H7/I7</f>
        <v>109792.12003334398</v>
      </c>
    </row>
    <row r="8" spans="1:11" s="154" customFormat="1" ht="24">
      <c r="A8" s="223">
        <f t="shared" si="1"/>
        <v>4</v>
      </c>
      <c r="B8" s="354">
        <v>118</v>
      </c>
      <c r="C8" s="231" t="s">
        <v>289</v>
      </c>
      <c r="D8" s="243">
        <v>3980445.897298299</v>
      </c>
      <c r="E8" s="243">
        <v>103746.9467067669</v>
      </c>
      <c r="F8" s="243">
        <v>4233271.06209168</v>
      </c>
      <c r="G8" s="243">
        <v>48231.20302110113</v>
      </c>
      <c r="H8" s="243">
        <f t="shared" si="0"/>
        <v>8365695.109117846</v>
      </c>
      <c r="I8" s="250">
        <v>1079</v>
      </c>
      <c r="J8" s="240" t="s">
        <v>4</v>
      </c>
      <c r="K8" s="243">
        <f>H8/I8</f>
        <v>7753.192872213018</v>
      </c>
    </row>
    <row r="9" spans="1:11" s="154" customFormat="1" ht="24">
      <c r="A9" s="223">
        <f t="shared" si="1"/>
        <v>5</v>
      </c>
      <c r="B9" s="354">
        <v>119</v>
      </c>
      <c r="C9" s="225" t="s">
        <v>251</v>
      </c>
      <c r="D9" s="243">
        <v>1260081.3510656164</v>
      </c>
      <c r="E9" s="243">
        <v>1371.105022556391</v>
      </c>
      <c r="F9" s="243">
        <v>55946.31359592529</v>
      </c>
      <c r="G9" s="243">
        <v>637.4167800145524</v>
      </c>
      <c r="H9" s="243">
        <f t="shared" si="0"/>
        <v>1318036.1864641125</v>
      </c>
      <c r="I9" s="250">
        <v>1911</v>
      </c>
      <c r="J9" s="240" t="s">
        <v>5</v>
      </c>
      <c r="K9" s="243">
        <f t="shared" si="2"/>
        <v>689.710196998489</v>
      </c>
    </row>
    <row r="10" spans="1:11" s="154" customFormat="1" ht="24">
      <c r="A10" s="223">
        <f t="shared" si="1"/>
        <v>6</v>
      </c>
      <c r="B10" s="354">
        <v>120</v>
      </c>
      <c r="C10" s="225" t="s">
        <v>252</v>
      </c>
      <c r="D10" s="243">
        <v>98574.50237736595</v>
      </c>
      <c r="E10" s="243">
        <v>10207.1151679198</v>
      </c>
      <c r="F10" s="243">
        <v>416489.2234363328</v>
      </c>
      <c r="G10" s="243">
        <v>4745.213806775002</v>
      </c>
      <c r="H10" s="243">
        <f t="shared" si="0"/>
        <v>530016.0547883936</v>
      </c>
      <c r="I10" s="250">
        <v>28</v>
      </c>
      <c r="J10" s="240" t="s">
        <v>4</v>
      </c>
      <c r="K10" s="243">
        <f t="shared" si="2"/>
        <v>18929.144813871197</v>
      </c>
    </row>
    <row r="11" spans="1:11" s="154" customFormat="1" ht="24">
      <c r="A11" s="223">
        <f t="shared" si="1"/>
        <v>7</v>
      </c>
      <c r="B11" s="354">
        <v>121</v>
      </c>
      <c r="C11" s="231" t="s">
        <v>253</v>
      </c>
      <c r="D11" s="243">
        <v>2684229.637131521</v>
      </c>
      <c r="E11" s="243">
        <v>12035.255197994988</v>
      </c>
      <c r="F11" s="243">
        <v>491084.3082308998</v>
      </c>
      <c r="G11" s="243">
        <v>5595.102846794404</v>
      </c>
      <c r="H11" s="243">
        <f t="shared" si="0"/>
        <v>3192944.30340721</v>
      </c>
      <c r="I11" s="250">
        <v>83</v>
      </c>
      <c r="J11" s="240" t="s">
        <v>4</v>
      </c>
      <c r="K11" s="243">
        <f t="shared" si="2"/>
        <v>38469.208474785664</v>
      </c>
    </row>
    <row r="12" spans="1:11" s="154" customFormat="1" ht="24">
      <c r="A12" s="223">
        <f t="shared" si="1"/>
        <v>8</v>
      </c>
      <c r="B12" s="354">
        <v>123</v>
      </c>
      <c r="C12" s="231" t="s">
        <v>254</v>
      </c>
      <c r="D12" s="243">
        <v>1537008.2451641848</v>
      </c>
      <c r="E12" s="243">
        <v>8074.28513283208</v>
      </c>
      <c r="F12" s="243">
        <v>329461.6245093378</v>
      </c>
      <c r="G12" s="243">
        <v>3753.6765934190307</v>
      </c>
      <c r="H12" s="243">
        <f t="shared" si="0"/>
        <v>1878297.8313997737</v>
      </c>
      <c r="I12" s="250">
        <v>60</v>
      </c>
      <c r="J12" s="240" t="s">
        <v>4</v>
      </c>
      <c r="K12" s="243">
        <f t="shared" si="2"/>
        <v>31304.963856662896</v>
      </c>
    </row>
    <row r="13" spans="1:11" s="154" customFormat="1" ht="24">
      <c r="A13" s="223">
        <f t="shared" si="1"/>
        <v>9</v>
      </c>
      <c r="B13" s="354">
        <v>124</v>
      </c>
      <c r="C13" s="231" t="s">
        <v>255</v>
      </c>
      <c r="D13" s="243">
        <v>378203.944754155</v>
      </c>
      <c r="E13" s="243">
        <v>1828.140030075188</v>
      </c>
      <c r="F13" s="243">
        <v>74595.08479456705</v>
      </c>
      <c r="G13" s="243">
        <v>849.8890400194032</v>
      </c>
      <c r="H13" s="243">
        <f t="shared" si="0"/>
        <v>455477.0586188167</v>
      </c>
      <c r="I13" s="250">
        <v>240</v>
      </c>
      <c r="J13" s="240" t="s">
        <v>4</v>
      </c>
      <c r="K13" s="243">
        <f t="shared" si="2"/>
        <v>1897.821077578403</v>
      </c>
    </row>
    <row r="14" spans="1:11" s="154" customFormat="1" ht="24">
      <c r="A14" s="223">
        <f t="shared" si="1"/>
        <v>10</v>
      </c>
      <c r="B14" s="354">
        <v>125</v>
      </c>
      <c r="C14" s="231" t="s">
        <v>256</v>
      </c>
      <c r="D14" s="243">
        <v>1755870.2695083101</v>
      </c>
      <c r="E14" s="243">
        <v>3656.280060150376</v>
      </c>
      <c r="F14" s="243">
        <v>149190.1695891341</v>
      </c>
      <c r="G14" s="243">
        <v>1699.7780800388064</v>
      </c>
      <c r="H14" s="243">
        <f t="shared" si="0"/>
        <v>1910416.4972376334</v>
      </c>
      <c r="I14" s="250">
        <v>12</v>
      </c>
      <c r="J14" s="240" t="s">
        <v>4</v>
      </c>
      <c r="K14" s="243">
        <f t="shared" si="2"/>
        <v>159201.3747698028</v>
      </c>
    </row>
    <row r="15" spans="1:11" s="154" customFormat="1" ht="24">
      <c r="A15" s="223">
        <f t="shared" si="1"/>
        <v>11</v>
      </c>
      <c r="B15" s="354">
        <v>126</v>
      </c>
      <c r="C15" s="231" t="s">
        <v>257</v>
      </c>
      <c r="D15" s="243">
        <v>945959.2639128865</v>
      </c>
      <c r="E15" s="243">
        <v>31082.108530367295</v>
      </c>
      <c r="F15" s="243">
        <v>176525.38714015938</v>
      </c>
      <c r="G15" s="243">
        <v>706847.6915967857</v>
      </c>
      <c r="H15" s="243">
        <f t="shared" si="0"/>
        <v>1860414.4511801987</v>
      </c>
      <c r="I15" s="250">
        <v>16</v>
      </c>
      <c r="J15" s="240" t="s">
        <v>4</v>
      </c>
      <c r="K15" s="243">
        <f t="shared" si="2"/>
        <v>116275.90319876242</v>
      </c>
    </row>
    <row r="16" spans="1:11" s="154" customFormat="1" ht="24">
      <c r="A16" s="223">
        <f t="shared" si="1"/>
        <v>12</v>
      </c>
      <c r="B16" s="354">
        <v>127</v>
      </c>
      <c r="C16" s="231" t="s">
        <v>264</v>
      </c>
      <c r="D16" s="243">
        <v>2981271.1752598016</v>
      </c>
      <c r="E16" s="243">
        <v>290702.69313492056</v>
      </c>
      <c r="F16" s="243">
        <v>2652941.6825</v>
      </c>
      <c r="G16" s="243">
        <v>374540.43623015867</v>
      </c>
      <c r="H16" s="243">
        <f t="shared" si="0"/>
        <v>6299455.987124881</v>
      </c>
      <c r="I16" s="250">
        <v>1406</v>
      </c>
      <c r="J16" s="240" t="s">
        <v>97</v>
      </c>
      <c r="K16" s="243">
        <f t="shared" si="2"/>
        <v>4480.4096636734575</v>
      </c>
    </row>
    <row r="17" spans="1:11" s="154" customFormat="1" ht="24">
      <c r="A17" s="223">
        <f t="shared" si="1"/>
        <v>13</v>
      </c>
      <c r="B17" s="354">
        <v>128</v>
      </c>
      <c r="C17" s="231" t="s">
        <v>250</v>
      </c>
      <c r="D17" s="243">
        <v>46880102.75113874</v>
      </c>
      <c r="E17" s="243">
        <v>2097629.7255801302</v>
      </c>
      <c r="F17" s="243">
        <v>1999488.7224111676</v>
      </c>
      <c r="G17" s="243">
        <v>2185027.9189666426</v>
      </c>
      <c r="H17" s="243">
        <f t="shared" si="0"/>
        <v>53162249.11809669</v>
      </c>
      <c r="I17" s="250">
        <v>118</v>
      </c>
      <c r="J17" s="240" t="s">
        <v>4</v>
      </c>
      <c r="K17" s="243">
        <f t="shared" si="2"/>
        <v>450527.53489912447</v>
      </c>
    </row>
    <row r="18" spans="1:11" s="154" customFormat="1" ht="24">
      <c r="A18" s="223">
        <f t="shared" si="1"/>
        <v>14</v>
      </c>
      <c r="B18" s="354">
        <v>129</v>
      </c>
      <c r="C18" s="231" t="s">
        <v>258</v>
      </c>
      <c r="D18" s="243">
        <v>3874921.4068574053</v>
      </c>
      <c r="E18" s="243">
        <v>28783.256746031748</v>
      </c>
      <c r="F18" s="243">
        <v>288568.985</v>
      </c>
      <c r="G18" s="243">
        <v>35973.0615079365</v>
      </c>
      <c r="H18" s="243">
        <f>SUM(D18:G18)</f>
        <v>4228246.710111373</v>
      </c>
      <c r="I18" s="250">
        <v>35</v>
      </c>
      <c r="J18" s="240" t="s">
        <v>4</v>
      </c>
      <c r="K18" s="243">
        <f t="shared" si="2"/>
        <v>120807.04886032494</v>
      </c>
    </row>
    <row r="19" spans="1:11" s="154" customFormat="1" ht="24">
      <c r="A19" s="223">
        <f t="shared" si="1"/>
        <v>15</v>
      </c>
      <c r="B19" s="354">
        <v>130</v>
      </c>
      <c r="C19" s="231" t="s">
        <v>263</v>
      </c>
      <c r="D19" s="243">
        <v>4931115.266160224</v>
      </c>
      <c r="E19" s="243">
        <v>27223.018999999993</v>
      </c>
      <c r="F19" s="243">
        <v>897981.2453333335</v>
      </c>
      <c r="G19" s="243">
        <v>1353448.0960000008</v>
      </c>
      <c r="H19" s="243">
        <f t="shared" si="0"/>
        <v>7209767.626493558</v>
      </c>
      <c r="I19" s="250">
        <v>2185</v>
      </c>
      <c r="J19" s="240" t="s">
        <v>6</v>
      </c>
      <c r="K19" s="243">
        <f t="shared" si="2"/>
        <v>3299.6648176171893</v>
      </c>
    </row>
    <row r="20" spans="1:11" s="154" customFormat="1" ht="24">
      <c r="A20" s="223">
        <f t="shared" si="1"/>
        <v>16</v>
      </c>
      <c r="B20" s="354">
        <v>131</v>
      </c>
      <c r="C20" s="231" t="s">
        <v>280</v>
      </c>
      <c r="D20" s="243">
        <v>348980.6156947906</v>
      </c>
      <c r="E20" s="243">
        <v>4514.414059299066</v>
      </c>
      <c r="F20" s="243">
        <v>72026.95028751552</v>
      </c>
      <c r="G20" s="243">
        <v>6654.687215424186</v>
      </c>
      <c r="H20" s="243">
        <f t="shared" si="0"/>
        <v>432176.6672570294</v>
      </c>
      <c r="I20" s="250">
        <v>10</v>
      </c>
      <c r="J20" s="240" t="s">
        <v>4</v>
      </c>
      <c r="K20" s="243">
        <f t="shared" si="2"/>
        <v>43217.66672570294</v>
      </c>
    </row>
    <row r="21" spans="1:11" s="154" customFormat="1" ht="24">
      <c r="A21" s="223">
        <f t="shared" si="1"/>
        <v>17</v>
      </c>
      <c r="B21" s="354">
        <v>132</v>
      </c>
      <c r="C21" s="231" t="s">
        <v>261</v>
      </c>
      <c r="D21" s="243">
        <v>123814.43171436992</v>
      </c>
      <c r="E21" s="243">
        <v>1480.213782226684</v>
      </c>
      <c r="F21" s="243">
        <v>23616.6384179413</v>
      </c>
      <c r="G21" s="243">
        <v>2181.9796773821</v>
      </c>
      <c r="H21" s="243">
        <f t="shared" si="0"/>
        <v>151093.26359192</v>
      </c>
      <c r="I21" s="250">
        <v>8</v>
      </c>
      <c r="J21" s="240" t="s">
        <v>4</v>
      </c>
      <c r="K21" s="243">
        <f t="shared" si="2"/>
        <v>18886.65794899</v>
      </c>
    </row>
    <row r="22" spans="1:11" s="154" customFormat="1" ht="24">
      <c r="A22" s="223">
        <f t="shared" si="1"/>
        <v>18</v>
      </c>
      <c r="B22" s="354">
        <v>133</v>
      </c>
      <c r="C22" s="231" t="s">
        <v>262</v>
      </c>
      <c r="D22" s="243">
        <v>363612.46244403365</v>
      </c>
      <c r="E22" s="243">
        <v>5330.673427954617</v>
      </c>
      <c r="F22" s="243">
        <v>85050.27340223233</v>
      </c>
      <c r="G22" s="243">
        <v>7857.933243305312</v>
      </c>
      <c r="H22" s="243">
        <f>SUM(D22:G22)</f>
        <v>461851.3425175259</v>
      </c>
      <c r="I22" s="250">
        <v>13</v>
      </c>
      <c r="J22" s="240" t="s">
        <v>4</v>
      </c>
      <c r="K22" s="243">
        <f t="shared" si="2"/>
        <v>35527.02634750199</v>
      </c>
    </row>
    <row r="23" spans="1:11" s="154" customFormat="1" ht="24">
      <c r="A23" s="223">
        <f t="shared" si="1"/>
        <v>19</v>
      </c>
      <c r="B23" s="354">
        <v>135</v>
      </c>
      <c r="C23" s="231" t="s">
        <v>260</v>
      </c>
      <c r="D23" s="243">
        <v>4287307.408096336</v>
      </c>
      <c r="E23" s="243">
        <v>34801.65644183375</v>
      </c>
      <c r="F23" s="243">
        <v>1099933.072676995</v>
      </c>
      <c r="G23" s="243">
        <v>42304.3347748639</v>
      </c>
      <c r="H23" s="243">
        <f t="shared" si="0"/>
        <v>5464346.471990028</v>
      </c>
      <c r="I23" s="250">
        <v>1</v>
      </c>
      <c r="J23" s="240" t="s">
        <v>4</v>
      </c>
      <c r="K23" s="243">
        <f t="shared" si="2"/>
        <v>5464346.471990028</v>
      </c>
    </row>
    <row r="24" spans="1:11" s="154" customFormat="1" ht="24">
      <c r="A24" s="223">
        <f t="shared" si="1"/>
        <v>20</v>
      </c>
      <c r="B24" s="354">
        <v>136</v>
      </c>
      <c r="C24" s="231" t="s">
        <v>259</v>
      </c>
      <c r="D24" s="243">
        <v>24027992.62348592</v>
      </c>
      <c r="E24" s="243">
        <v>23025.005396825392</v>
      </c>
      <c r="F24" s="243">
        <v>164527.49333333335</v>
      </c>
      <c r="G24" s="243">
        <v>86109.8192063492</v>
      </c>
      <c r="H24" s="243">
        <f t="shared" si="0"/>
        <v>24301654.941422425</v>
      </c>
      <c r="I24" s="250">
        <v>94</v>
      </c>
      <c r="J24" s="240" t="s">
        <v>4</v>
      </c>
      <c r="K24" s="243">
        <f t="shared" si="2"/>
        <v>258528.24405768537</v>
      </c>
    </row>
    <row r="25" spans="1:11" s="154" customFormat="1" ht="24">
      <c r="A25" s="223">
        <f t="shared" si="1"/>
        <v>21</v>
      </c>
      <c r="B25" s="354">
        <v>138</v>
      </c>
      <c r="C25" s="231" t="s">
        <v>282</v>
      </c>
      <c r="D25" s="243">
        <v>59177.071091909835</v>
      </c>
      <c r="E25" s="243">
        <v>706.7901821886257</v>
      </c>
      <c r="F25" s="243">
        <v>11276.755000206698</v>
      </c>
      <c r="G25" s="243">
        <v>1041.8777559203918</v>
      </c>
      <c r="H25" s="243">
        <f t="shared" si="0"/>
        <v>72202.49403022554</v>
      </c>
      <c r="I25" s="250">
        <v>1</v>
      </c>
      <c r="J25" s="240" t="s">
        <v>4</v>
      </c>
      <c r="K25" s="243">
        <f t="shared" si="2"/>
        <v>72202.49403022554</v>
      </c>
    </row>
    <row r="26" spans="1:11" s="154" customFormat="1" ht="24">
      <c r="A26" s="346">
        <f t="shared" si="1"/>
        <v>22</v>
      </c>
      <c r="B26" s="355">
        <v>141</v>
      </c>
      <c r="C26" s="232" t="s">
        <v>249</v>
      </c>
      <c r="D26" s="243">
        <v>8867934.076288875</v>
      </c>
      <c r="E26" s="243">
        <v>79290.43508792602</v>
      </c>
      <c r="F26" s="243">
        <v>8374845.2103003375</v>
      </c>
      <c r="G26" s="243">
        <v>1423613.40433557</v>
      </c>
      <c r="H26" s="243">
        <f t="shared" si="0"/>
        <v>18745683.12601271</v>
      </c>
      <c r="I26" s="250">
        <f>1+9</f>
        <v>10</v>
      </c>
      <c r="J26" s="240" t="s">
        <v>4</v>
      </c>
      <c r="K26" s="243">
        <f t="shared" si="2"/>
        <v>1874568.3126012709</v>
      </c>
    </row>
    <row r="27" spans="1:11" s="154" customFormat="1" ht="24">
      <c r="A27" s="223">
        <f t="shared" si="1"/>
        <v>23</v>
      </c>
      <c r="B27" s="354">
        <v>142</v>
      </c>
      <c r="C27" s="231" t="s">
        <v>284</v>
      </c>
      <c r="D27" s="243">
        <v>1982248.2934859188</v>
      </c>
      <c r="E27" s="243">
        <v>23025.005396825392</v>
      </c>
      <c r="F27" s="243">
        <v>164527.49333333335</v>
      </c>
      <c r="G27" s="243">
        <v>86109.8192063492</v>
      </c>
      <c r="H27" s="243">
        <f t="shared" si="0"/>
        <v>2255910.6114224265</v>
      </c>
      <c r="I27" s="250">
        <v>950</v>
      </c>
      <c r="J27" s="240" t="s">
        <v>6</v>
      </c>
      <c r="K27" s="243">
        <f t="shared" si="2"/>
        <v>2374.6427488657123</v>
      </c>
    </row>
    <row r="28" spans="1:11" s="154" customFormat="1" ht="72">
      <c r="A28" s="223">
        <f t="shared" si="1"/>
        <v>24</v>
      </c>
      <c r="B28" s="354">
        <v>143</v>
      </c>
      <c r="C28" s="232" t="s">
        <v>283</v>
      </c>
      <c r="D28" s="243">
        <v>22021610.2590017</v>
      </c>
      <c r="E28" s="243">
        <v>21736.772808454236</v>
      </c>
      <c r="F28" s="243">
        <v>346807.67734642414</v>
      </c>
      <c r="G28" s="243">
        <v>32042.126001942288</v>
      </c>
      <c r="H28" s="243">
        <f t="shared" si="0"/>
        <v>22422196.83515852</v>
      </c>
      <c r="I28" s="250">
        <v>16</v>
      </c>
      <c r="J28" s="240" t="s">
        <v>4</v>
      </c>
      <c r="K28" s="243">
        <f t="shared" si="2"/>
        <v>1401387.3021974075</v>
      </c>
    </row>
    <row r="29" spans="1:11" s="154" customFormat="1" ht="24">
      <c r="A29" s="223">
        <f t="shared" si="1"/>
        <v>25</v>
      </c>
      <c r="B29" s="354">
        <v>146</v>
      </c>
      <c r="C29" s="231" t="s">
        <v>312</v>
      </c>
      <c r="D29" s="243">
        <v>10276451.652615797</v>
      </c>
      <c r="E29" s="243">
        <v>54321.052558508236</v>
      </c>
      <c r="F29" s="243">
        <v>1662806.086604706</v>
      </c>
      <c r="G29" s="243">
        <v>86887.80997734425</v>
      </c>
      <c r="H29" s="243">
        <f t="shared" si="0"/>
        <v>12080466.601756357</v>
      </c>
      <c r="I29" s="250">
        <v>1</v>
      </c>
      <c r="J29" s="240" t="s">
        <v>4</v>
      </c>
      <c r="K29" s="243">
        <f t="shared" si="2"/>
        <v>12080466.601756357</v>
      </c>
    </row>
    <row r="30" spans="1:11" s="154" customFormat="1" ht="24">
      <c r="A30" s="223">
        <f t="shared" si="1"/>
        <v>26</v>
      </c>
      <c r="B30" s="354">
        <v>148</v>
      </c>
      <c r="C30" s="521" t="s">
        <v>313</v>
      </c>
      <c r="D30" s="243">
        <v>10542916.908916362</v>
      </c>
      <c r="E30" s="243">
        <v>5288.8971102248</v>
      </c>
      <c r="F30" s="243">
        <v>321392.28220812185</v>
      </c>
      <c r="G30" s="243">
        <v>7658.914053662072</v>
      </c>
      <c r="H30" s="243">
        <f t="shared" si="0"/>
        <v>10877257.002288371</v>
      </c>
      <c r="I30" s="250">
        <v>7</v>
      </c>
      <c r="J30" s="240" t="s">
        <v>4</v>
      </c>
      <c r="K30" s="243">
        <f t="shared" si="2"/>
        <v>1553893.8574697673</v>
      </c>
    </row>
    <row r="31" spans="1:11" s="154" customFormat="1" ht="24">
      <c r="A31" s="223">
        <f t="shared" si="1"/>
        <v>27</v>
      </c>
      <c r="B31" s="354">
        <v>149</v>
      </c>
      <c r="C31" s="521" t="s">
        <v>314</v>
      </c>
      <c r="D31" s="243">
        <v>92870.65589855984</v>
      </c>
      <c r="E31" s="243">
        <v>9742.705203045683</v>
      </c>
      <c r="F31" s="243">
        <v>592038.4145939086</v>
      </c>
      <c r="G31" s="243">
        <v>14108.525888324868</v>
      </c>
      <c r="H31" s="243">
        <f t="shared" si="0"/>
        <v>708760.301583839</v>
      </c>
      <c r="I31" s="250">
        <v>53</v>
      </c>
      <c r="J31" s="240" t="s">
        <v>4</v>
      </c>
      <c r="K31" s="243">
        <f t="shared" si="2"/>
        <v>13372.83587894036</v>
      </c>
    </row>
    <row r="32" spans="1:11" s="154" customFormat="1" ht="24">
      <c r="A32" s="223">
        <f t="shared" si="1"/>
        <v>28</v>
      </c>
      <c r="B32" s="354">
        <v>150</v>
      </c>
      <c r="C32" s="521" t="s">
        <v>315</v>
      </c>
      <c r="D32" s="243">
        <v>10095033.416227747</v>
      </c>
      <c r="E32" s="243">
        <v>5567.260116026105</v>
      </c>
      <c r="F32" s="243">
        <v>338307.66548223345</v>
      </c>
      <c r="G32" s="243">
        <v>8062.014793328496</v>
      </c>
      <c r="H32" s="243">
        <f t="shared" si="0"/>
        <v>10446970.356619336</v>
      </c>
      <c r="I32" s="250">
        <v>1</v>
      </c>
      <c r="J32" s="240" t="s">
        <v>4</v>
      </c>
      <c r="K32" s="243">
        <f t="shared" si="2"/>
        <v>10446970.356619336</v>
      </c>
    </row>
    <row r="33" spans="1:11" s="154" customFormat="1" ht="24">
      <c r="A33" s="223">
        <f t="shared" si="1"/>
        <v>29</v>
      </c>
      <c r="B33" s="354">
        <v>151</v>
      </c>
      <c r="C33" s="521" t="s">
        <v>316</v>
      </c>
      <c r="D33" s="243">
        <v>42308989.14042526</v>
      </c>
      <c r="E33" s="243">
        <v>3061.993063814358</v>
      </c>
      <c r="F33" s="243">
        <v>186069.21601522842</v>
      </c>
      <c r="G33" s="243">
        <v>4434.108136330673</v>
      </c>
      <c r="H33" s="243">
        <f t="shared" si="0"/>
        <v>42502554.45764063</v>
      </c>
      <c r="I33" s="250">
        <v>1</v>
      </c>
      <c r="J33" s="240" t="s">
        <v>4</v>
      </c>
      <c r="K33" s="243">
        <f t="shared" si="2"/>
        <v>42502554.45764063</v>
      </c>
    </row>
    <row r="34" spans="1:11" s="154" customFormat="1" ht="24">
      <c r="A34" s="223">
        <f t="shared" si="1"/>
        <v>30</v>
      </c>
      <c r="B34" s="354">
        <v>153</v>
      </c>
      <c r="C34" s="225" t="s">
        <v>317</v>
      </c>
      <c r="D34" s="243">
        <v>218431.69653580897</v>
      </c>
      <c r="E34" s="243">
        <v>30168.038515329703</v>
      </c>
      <c r="F34" s="243">
        <v>139227.84474287587</v>
      </c>
      <c r="G34" s="243">
        <v>706422.747076776</v>
      </c>
      <c r="H34" s="243">
        <f>SUM(D34:G34)</f>
        <v>1094250.3268707907</v>
      </c>
      <c r="I34" s="250">
        <v>1</v>
      </c>
      <c r="J34" s="240" t="s">
        <v>89</v>
      </c>
      <c r="K34" s="243">
        <f t="shared" si="2"/>
        <v>1094250.3268707907</v>
      </c>
    </row>
    <row r="35" spans="1:11" s="154" customFormat="1" ht="24">
      <c r="A35" s="223">
        <f t="shared" si="1"/>
        <v>31</v>
      </c>
      <c r="B35" s="354">
        <v>155</v>
      </c>
      <c r="C35" s="225" t="s">
        <v>318</v>
      </c>
      <c r="D35" s="243">
        <v>824641.1740686661</v>
      </c>
      <c r="E35" s="243">
        <v>10706.452428571427</v>
      </c>
      <c r="F35" s="243">
        <v>81260.62800000001</v>
      </c>
      <c r="G35" s="243">
        <v>13140.04114285714</v>
      </c>
      <c r="H35" s="243">
        <f t="shared" si="0"/>
        <v>929748.2956400947</v>
      </c>
      <c r="I35" s="250">
        <v>8</v>
      </c>
      <c r="J35" s="240" t="s">
        <v>4</v>
      </c>
      <c r="K35" s="243">
        <f t="shared" si="2"/>
        <v>116218.53695501183</v>
      </c>
    </row>
    <row r="36" spans="1:11" s="154" customFormat="1" ht="24">
      <c r="A36" s="223">
        <f t="shared" si="1"/>
        <v>32</v>
      </c>
      <c r="B36" s="354">
        <v>122</v>
      </c>
      <c r="C36" s="225" t="s">
        <v>319</v>
      </c>
      <c r="D36" s="243">
        <v>44832425.02951291</v>
      </c>
      <c r="E36" s="243">
        <v>152345.00250626568</v>
      </c>
      <c r="F36" s="243">
        <v>6216257.066213921</v>
      </c>
      <c r="G36" s="243">
        <v>70824.08666828359</v>
      </c>
      <c r="H36" s="243">
        <f t="shared" si="0"/>
        <v>51271851.18490138</v>
      </c>
      <c r="I36" s="250">
        <v>9</v>
      </c>
      <c r="J36" s="240" t="s">
        <v>4</v>
      </c>
      <c r="K36" s="243">
        <f t="shared" si="2"/>
        <v>5696872.353877931</v>
      </c>
    </row>
    <row r="37" spans="1:11" s="154" customFormat="1" ht="24">
      <c r="A37" s="226"/>
      <c r="B37" s="354"/>
      <c r="C37" s="227" t="s">
        <v>327</v>
      </c>
      <c r="D37" s="343"/>
      <c r="E37" s="343"/>
      <c r="F37" s="343"/>
      <c r="G37" s="343"/>
      <c r="H37" s="343"/>
      <c r="I37" s="251"/>
      <c r="J37" s="242"/>
      <c r="K37" s="243"/>
    </row>
    <row r="38" spans="1:11" ht="24">
      <c r="A38" s="226">
        <v>1</v>
      </c>
      <c r="B38" s="354">
        <v>100</v>
      </c>
      <c r="C38" s="225" t="s">
        <v>265</v>
      </c>
      <c r="D38" s="343">
        <v>343878.57351453626</v>
      </c>
      <c r="E38" s="343">
        <v>29045.33140873052</v>
      </c>
      <c r="F38" s="343">
        <v>172204.94625</v>
      </c>
      <c r="G38" s="343">
        <v>34174.40843253967</v>
      </c>
      <c r="H38" s="343">
        <f aca="true" t="shared" si="3" ref="H38:H53">SUM(D38:G38)</f>
        <v>579303.2596058064</v>
      </c>
      <c r="I38" s="251">
        <v>18185</v>
      </c>
      <c r="J38" s="242" t="s">
        <v>7</v>
      </c>
      <c r="K38" s="243">
        <f aca="true" t="shared" si="4" ref="K38:K52">H38/I38</f>
        <v>31.856104460038846</v>
      </c>
    </row>
    <row r="39" spans="1:11" ht="24">
      <c r="A39" s="226">
        <f>+A38+1</f>
        <v>2</v>
      </c>
      <c r="B39" s="354">
        <v>101</v>
      </c>
      <c r="C39" s="225" t="s">
        <v>266</v>
      </c>
      <c r="D39" s="343">
        <v>279890.89351453626</v>
      </c>
      <c r="E39" s="343">
        <v>29045.33140873052</v>
      </c>
      <c r="F39" s="343">
        <v>172204.94625</v>
      </c>
      <c r="G39" s="343">
        <v>34174.40843253967</v>
      </c>
      <c r="H39" s="343">
        <f t="shared" si="3"/>
        <v>515315.5796058065</v>
      </c>
      <c r="I39" s="251">
        <v>1546</v>
      </c>
      <c r="J39" s="242" t="s">
        <v>4</v>
      </c>
      <c r="K39" s="243">
        <f t="shared" si="4"/>
        <v>333.32184968034056</v>
      </c>
    </row>
    <row r="40" spans="1:11" ht="24">
      <c r="A40" s="226">
        <f aca="true" t="shared" si="5" ref="A40:A54">+A39+1</f>
        <v>3</v>
      </c>
      <c r="B40" s="354">
        <v>102</v>
      </c>
      <c r="C40" s="225" t="s">
        <v>267</v>
      </c>
      <c r="D40" s="343">
        <v>5895506.293371482</v>
      </c>
      <c r="E40" s="343">
        <v>10031.55134920635</v>
      </c>
      <c r="F40" s="343">
        <v>30093.117500000008</v>
      </c>
      <c r="G40" s="343">
        <v>7313.612301587301</v>
      </c>
      <c r="H40" s="343">
        <f>SUM(D40:G40)</f>
        <v>5942944.574522275</v>
      </c>
      <c r="I40" s="251">
        <v>447</v>
      </c>
      <c r="J40" s="242" t="s">
        <v>6</v>
      </c>
      <c r="K40" s="243">
        <f>H40/I40</f>
        <v>13295.178019065492</v>
      </c>
    </row>
    <row r="41" spans="1:11" ht="24">
      <c r="A41" s="226">
        <f t="shared" si="5"/>
        <v>4</v>
      </c>
      <c r="B41" s="354">
        <v>103</v>
      </c>
      <c r="C41" s="225" t="s">
        <v>268</v>
      </c>
      <c r="D41" s="343">
        <v>3808309.1956382096</v>
      </c>
      <c r="E41" s="343">
        <v>21735.027923280424</v>
      </c>
      <c r="F41" s="343">
        <v>65201.75458333334</v>
      </c>
      <c r="G41" s="343">
        <v>15846.159986772485</v>
      </c>
      <c r="H41" s="343">
        <f t="shared" si="3"/>
        <v>3911092.1381315957</v>
      </c>
      <c r="I41" s="251">
        <v>16356</v>
      </c>
      <c r="J41" s="242" t="s">
        <v>42</v>
      </c>
      <c r="K41" s="243">
        <f t="shared" si="4"/>
        <v>239.12277684834896</v>
      </c>
    </row>
    <row r="42" spans="1:11" ht="24">
      <c r="A42" s="226">
        <f t="shared" si="5"/>
        <v>5</v>
      </c>
      <c r="B42" s="354">
        <v>104</v>
      </c>
      <c r="C42" s="225" t="s">
        <v>269</v>
      </c>
      <c r="D42" s="343">
        <v>141598.42674296207</v>
      </c>
      <c r="E42" s="343">
        <v>11512.502698412698</v>
      </c>
      <c r="F42" s="343">
        <v>106405.15250000003</v>
      </c>
      <c r="G42" s="343">
        <v>14389.224603174604</v>
      </c>
      <c r="H42" s="343">
        <f t="shared" si="3"/>
        <v>273905.3065445494</v>
      </c>
      <c r="I42" s="251">
        <v>750</v>
      </c>
      <c r="J42" s="242" t="s">
        <v>8</v>
      </c>
      <c r="K42" s="243">
        <f t="shared" si="4"/>
        <v>365.2070753927326</v>
      </c>
    </row>
    <row r="43" spans="1:11" ht="48">
      <c r="A43" s="226">
        <f t="shared" si="5"/>
        <v>6</v>
      </c>
      <c r="B43" s="354">
        <v>105</v>
      </c>
      <c r="C43" s="232" t="s">
        <v>270</v>
      </c>
      <c r="D43" s="344">
        <v>12192044.717049787</v>
      </c>
      <c r="E43" s="344">
        <v>8535.992485549132</v>
      </c>
      <c r="F43" s="344">
        <v>65321.70138728324</v>
      </c>
      <c r="G43" s="344">
        <v>1038266.9554913287</v>
      </c>
      <c r="H43" s="344">
        <f t="shared" si="3"/>
        <v>13304169.366413947</v>
      </c>
      <c r="I43" s="347">
        <v>952</v>
      </c>
      <c r="J43" s="298" t="s">
        <v>90</v>
      </c>
      <c r="K43" s="243">
        <f t="shared" si="4"/>
        <v>13974.96782186339</v>
      </c>
    </row>
    <row r="44" spans="1:11" ht="24">
      <c r="A44" s="226">
        <f t="shared" si="5"/>
        <v>7</v>
      </c>
      <c r="B44" s="354">
        <v>106</v>
      </c>
      <c r="C44" s="225" t="s">
        <v>271</v>
      </c>
      <c r="D44" s="344">
        <v>4287342.876724041</v>
      </c>
      <c r="E44" s="344">
        <v>38411.9661849711</v>
      </c>
      <c r="F44" s="344">
        <v>293947.65624277457</v>
      </c>
      <c r="G44" s="344">
        <v>4672201.299710979</v>
      </c>
      <c r="H44" s="344">
        <f t="shared" si="3"/>
        <v>9291903.798862766</v>
      </c>
      <c r="I44" s="299">
        <v>1</v>
      </c>
      <c r="J44" s="300" t="s">
        <v>89</v>
      </c>
      <c r="K44" s="243">
        <f t="shared" si="4"/>
        <v>9291903.798862766</v>
      </c>
    </row>
    <row r="45" spans="1:11" ht="24">
      <c r="A45" s="226">
        <f t="shared" si="5"/>
        <v>8</v>
      </c>
      <c r="B45" s="354">
        <v>107</v>
      </c>
      <c r="C45" s="225" t="s">
        <v>272</v>
      </c>
      <c r="D45" s="344">
        <v>11160460.23818025</v>
      </c>
      <c r="E45" s="344">
        <v>27198.987624999998</v>
      </c>
      <c r="F45" s="344">
        <v>5070355.421250001</v>
      </c>
      <c r="G45" s="344">
        <v>37378.15237499998</v>
      </c>
      <c r="H45" s="344">
        <f>SUM(D45:G45)</f>
        <v>16295392.79943025</v>
      </c>
      <c r="I45" s="299">
        <v>1</v>
      </c>
      <c r="J45" s="300" t="s">
        <v>86</v>
      </c>
      <c r="K45" s="243">
        <f>H45/I45</f>
        <v>16295392.79943025</v>
      </c>
    </row>
    <row r="46" spans="1:11" ht="24">
      <c r="A46" s="316">
        <f t="shared" si="5"/>
        <v>9</v>
      </c>
      <c r="B46" s="359">
        <v>108</v>
      </c>
      <c r="C46" s="225" t="s">
        <v>273</v>
      </c>
      <c r="D46" s="344">
        <v>117817.62139436963</v>
      </c>
      <c r="E46" s="344">
        <v>9210.202158730159</v>
      </c>
      <c r="F46" s="344">
        <v>68590.385</v>
      </c>
      <c r="G46" s="344">
        <v>12197.443682539682</v>
      </c>
      <c r="H46" s="344">
        <f t="shared" si="3"/>
        <v>207815.65223563946</v>
      </c>
      <c r="I46" s="299">
        <v>1</v>
      </c>
      <c r="J46" s="300" t="s">
        <v>86</v>
      </c>
      <c r="K46" s="243">
        <f t="shared" si="4"/>
        <v>207815.65223563946</v>
      </c>
    </row>
    <row r="47" spans="1:11" ht="48">
      <c r="A47" s="226">
        <f t="shared" si="5"/>
        <v>10</v>
      </c>
      <c r="B47" s="354">
        <v>109</v>
      </c>
      <c r="C47" s="231" t="s">
        <v>274</v>
      </c>
      <c r="D47" s="344">
        <v>278788.864183109</v>
      </c>
      <c r="E47" s="344">
        <v>28477.95347619048</v>
      </c>
      <c r="F47" s="344">
        <v>145048.60950000002</v>
      </c>
      <c r="G47" s="344">
        <v>60554.78604761904</v>
      </c>
      <c r="H47" s="344">
        <f t="shared" si="3"/>
        <v>512870.21320691856</v>
      </c>
      <c r="I47" s="299">
        <v>57160</v>
      </c>
      <c r="J47" s="303" t="s">
        <v>87</v>
      </c>
      <c r="K47" s="243">
        <f>H47/I47</f>
        <v>8.972536970030065</v>
      </c>
    </row>
    <row r="48" spans="1:11" ht="24">
      <c r="A48" s="226">
        <f t="shared" si="5"/>
        <v>11</v>
      </c>
      <c r="B48" s="354">
        <v>110</v>
      </c>
      <c r="C48" s="225" t="s">
        <v>275</v>
      </c>
      <c r="D48" s="344">
        <v>371718.48557747854</v>
      </c>
      <c r="E48" s="344">
        <v>37970.60463492064</v>
      </c>
      <c r="F48" s="344">
        <v>193398.146</v>
      </c>
      <c r="G48" s="344">
        <v>80739.71473015872</v>
      </c>
      <c r="H48" s="344">
        <f t="shared" si="3"/>
        <v>683826.9509425579</v>
      </c>
      <c r="I48" s="299">
        <v>98942</v>
      </c>
      <c r="J48" s="300" t="s">
        <v>88</v>
      </c>
      <c r="K48" s="243">
        <f>H48/I48</f>
        <v>6.911392037178932</v>
      </c>
    </row>
    <row r="49" spans="1:11" ht="48">
      <c r="A49" s="226">
        <f t="shared" si="5"/>
        <v>12</v>
      </c>
      <c r="B49" s="354">
        <v>111</v>
      </c>
      <c r="C49" s="277" t="s">
        <v>277</v>
      </c>
      <c r="D49" s="344">
        <v>644899.6002861089</v>
      </c>
      <c r="E49" s="344">
        <v>43172.88511904762</v>
      </c>
      <c r="F49" s="344">
        <v>293110.6325</v>
      </c>
      <c r="G49" s="344">
        <v>54153.592261904756</v>
      </c>
      <c r="H49" s="344">
        <f t="shared" si="3"/>
        <v>1035336.7101670612</v>
      </c>
      <c r="I49" s="340">
        <v>10165</v>
      </c>
      <c r="J49" s="298" t="s">
        <v>99</v>
      </c>
      <c r="K49" s="243">
        <f t="shared" si="4"/>
        <v>101.85309495003061</v>
      </c>
    </row>
    <row r="50" spans="1:11" ht="24">
      <c r="A50" s="226">
        <f t="shared" si="5"/>
        <v>13</v>
      </c>
      <c r="B50" s="354">
        <v>112</v>
      </c>
      <c r="C50" s="231" t="s">
        <v>278</v>
      </c>
      <c r="D50" s="344">
        <v>2082089.7701716651</v>
      </c>
      <c r="E50" s="344">
        <v>25905.631071428565</v>
      </c>
      <c r="F50" s="344">
        <v>98794.40250000003</v>
      </c>
      <c r="G50" s="344">
        <v>64012.91035714284</v>
      </c>
      <c r="H50" s="344">
        <f t="shared" si="3"/>
        <v>2270802.7141002365</v>
      </c>
      <c r="I50" s="340">
        <f>7+34+2+51</f>
        <v>94</v>
      </c>
      <c r="J50" s="306" t="s">
        <v>4</v>
      </c>
      <c r="K50" s="243">
        <f t="shared" si="4"/>
        <v>24157.47568191741</v>
      </c>
    </row>
    <row r="51" spans="1:11" ht="24">
      <c r="A51" s="226">
        <f t="shared" si="5"/>
        <v>14</v>
      </c>
      <c r="B51" s="354">
        <v>113</v>
      </c>
      <c r="C51" s="225" t="s">
        <v>279</v>
      </c>
      <c r="D51" s="344">
        <v>177428.02674296242</v>
      </c>
      <c r="E51" s="344">
        <v>11512.502698412696</v>
      </c>
      <c r="F51" s="344">
        <v>106443.64166666668</v>
      </c>
      <c r="G51" s="344">
        <v>14389.224603174602</v>
      </c>
      <c r="H51" s="344">
        <f t="shared" si="3"/>
        <v>309773.3957112164</v>
      </c>
      <c r="I51" s="299">
        <f>690+1200+80+1000</f>
        <v>2970</v>
      </c>
      <c r="J51" s="300" t="s">
        <v>100</v>
      </c>
      <c r="K51" s="243">
        <f t="shared" si="4"/>
        <v>104.30080663677319</v>
      </c>
    </row>
    <row r="52" spans="1:11" ht="24">
      <c r="A52" s="297">
        <f t="shared" si="5"/>
        <v>15</v>
      </c>
      <c r="B52" s="355">
        <v>114</v>
      </c>
      <c r="C52" s="301" t="s">
        <v>276</v>
      </c>
      <c r="D52" s="345">
        <v>137981911.29926315</v>
      </c>
      <c r="E52" s="345">
        <v>3170796.7832859945</v>
      </c>
      <c r="F52" s="345">
        <v>23480106.82297434</v>
      </c>
      <c r="G52" s="345">
        <v>15330355.517865835</v>
      </c>
      <c r="H52" s="345">
        <f t="shared" si="3"/>
        <v>179963170.42338932</v>
      </c>
      <c r="I52" s="302">
        <v>1</v>
      </c>
      <c r="J52" s="303" t="s">
        <v>98</v>
      </c>
      <c r="K52" s="243">
        <f t="shared" si="4"/>
        <v>179963170.42338932</v>
      </c>
    </row>
    <row r="53" spans="1:11" ht="24">
      <c r="A53" s="226">
        <f t="shared" si="5"/>
        <v>16</v>
      </c>
      <c r="B53" s="354">
        <v>139</v>
      </c>
      <c r="C53" s="225" t="s">
        <v>285</v>
      </c>
      <c r="D53" s="344">
        <v>197842.04674296197</v>
      </c>
      <c r="E53" s="344">
        <v>11512.752698412698</v>
      </c>
      <c r="F53" s="344">
        <v>85737.98125</v>
      </c>
      <c r="G53" s="344">
        <v>15246.804603174602</v>
      </c>
      <c r="H53" s="344">
        <f t="shared" si="3"/>
        <v>310339.5852945493</v>
      </c>
      <c r="I53" s="299">
        <v>1</v>
      </c>
      <c r="J53" s="300" t="s">
        <v>86</v>
      </c>
      <c r="K53" s="243">
        <f aca="true" t="shared" si="6" ref="K53:K59">H53/I53</f>
        <v>310339.5852945493</v>
      </c>
    </row>
    <row r="54" spans="1:11" ht="24">
      <c r="A54" s="226">
        <f t="shared" si="5"/>
        <v>17</v>
      </c>
      <c r="B54" s="354">
        <v>140</v>
      </c>
      <c r="C54" s="231" t="s">
        <v>286</v>
      </c>
      <c r="D54" s="344">
        <v>23232.40534859241</v>
      </c>
      <c r="E54" s="344">
        <v>2302.5505396825397</v>
      </c>
      <c r="F54" s="344">
        <v>17147.59625</v>
      </c>
      <c r="G54" s="344">
        <v>3049.3609206349206</v>
      </c>
      <c r="H54" s="344">
        <f aca="true" t="shared" si="7" ref="H54:H59">SUM(D54:G54)</f>
        <v>45731.913058909864</v>
      </c>
      <c r="I54" s="340">
        <v>25</v>
      </c>
      <c r="J54" s="298" t="s">
        <v>86</v>
      </c>
      <c r="K54" s="243">
        <f t="shared" si="6"/>
        <v>1829.2765223563945</v>
      </c>
    </row>
    <row r="55" spans="1:11" ht="24">
      <c r="A55" s="357"/>
      <c r="B55" s="360">
        <v>144</v>
      </c>
      <c r="C55" s="358" t="s">
        <v>34</v>
      </c>
      <c r="D55" s="344">
        <v>275387519.69000006</v>
      </c>
      <c r="E55" s="344">
        <v>0</v>
      </c>
      <c r="F55" s="344">
        <v>0</v>
      </c>
      <c r="G55" s="344">
        <v>0</v>
      </c>
      <c r="H55" s="344">
        <f t="shared" si="7"/>
        <v>275387519.69000006</v>
      </c>
      <c r="I55" s="340">
        <v>453</v>
      </c>
      <c r="J55" s="298" t="s">
        <v>324</v>
      </c>
      <c r="K55" s="243">
        <f t="shared" si="6"/>
        <v>607919.4695143489</v>
      </c>
    </row>
    <row r="56" spans="1:11" ht="24">
      <c r="A56" s="357"/>
      <c r="B56" s="360">
        <v>156</v>
      </c>
      <c r="C56" s="358" t="s">
        <v>320</v>
      </c>
      <c r="D56" s="344">
        <v>49352.0749457092</v>
      </c>
      <c r="E56" s="344">
        <v>4979.32894990366</v>
      </c>
      <c r="F56" s="344">
        <v>38104.325809248556</v>
      </c>
      <c r="G56" s="344">
        <v>605655.7240366084</v>
      </c>
      <c r="H56" s="344">
        <f t="shared" si="7"/>
        <v>698091.4537414698</v>
      </c>
      <c r="I56" s="340">
        <v>1</v>
      </c>
      <c r="J56" s="298" t="s">
        <v>4</v>
      </c>
      <c r="K56" s="243">
        <f t="shared" si="6"/>
        <v>698091.4537414698</v>
      </c>
    </row>
    <row r="57" spans="1:11" ht="72">
      <c r="A57" s="357"/>
      <c r="B57" s="360">
        <v>157</v>
      </c>
      <c r="C57" s="358" t="s">
        <v>321</v>
      </c>
      <c r="D57" s="344">
        <v>392046.8402575003</v>
      </c>
      <c r="E57" s="344">
        <v>38855.696607142854</v>
      </c>
      <c r="F57" s="344">
        <v>7243364.887500001</v>
      </c>
      <c r="G57" s="344">
        <v>53397.360535714266</v>
      </c>
      <c r="H57" s="344">
        <f t="shared" si="7"/>
        <v>7727664.784900358</v>
      </c>
      <c r="I57" s="340">
        <v>888514400</v>
      </c>
      <c r="J57" s="298" t="s">
        <v>325</v>
      </c>
      <c r="K57" s="243">
        <f t="shared" si="6"/>
        <v>0.008697287050047088</v>
      </c>
    </row>
    <row r="58" spans="1:11" ht="24">
      <c r="A58" s="357"/>
      <c r="B58" s="360">
        <v>158</v>
      </c>
      <c r="C58" s="358" t="s">
        <v>322</v>
      </c>
      <c r="D58" s="344">
        <v>817538.6341831089</v>
      </c>
      <c r="E58" s="344">
        <v>28477.95347619048</v>
      </c>
      <c r="F58" s="344">
        <v>145048.60950000002</v>
      </c>
      <c r="G58" s="344">
        <v>60554.78604761904</v>
      </c>
      <c r="H58" s="344">
        <f t="shared" si="7"/>
        <v>1051619.9832069185</v>
      </c>
      <c r="I58" s="340">
        <v>369</v>
      </c>
      <c r="J58" s="298" t="s">
        <v>4</v>
      </c>
      <c r="K58" s="243">
        <f t="shared" si="6"/>
        <v>2849.918653677286</v>
      </c>
    </row>
    <row r="59" spans="1:11" ht="24">
      <c r="A59" s="357"/>
      <c r="B59" s="360">
        <v>159</v>
      </c>
      <c r="C59" s="358" t="s">
        <v>323</v>
      </c>
      <c r="D59" s="344">
        <v>9680.16889524684</v>
      </c>
      <c r="E59" s="344">
        <v>1671.9252248677249</v>
      </c>
      <c r="F59" s="344">
        <v>5015.519583333334</v>
      </c>
      <c r="G59" s="344">
        <v>1218.9353835978834</v>
      </c>
      <c r="H59" s="344">
        <f t="shared" si="7"/>
        <v>17586.549087045783</v>
      </c>
      <c r="I59" s="340">
        <v>1</v>
      </c>
      <c r="J59" s="298" t="s">
        <v>326</v>
      </c>
      <c r="K59" s="243">
        <f t="shared" si="6"/>
        <v>17586.549087045783</v>
      </c>
    </row>
    <row r="60" spans="1:11" ht="24.75" thickBot="1">
      <c r="A60" s="229"/>
      <c r="B60" s="361"/>
      <c r="C60" s="228" t="s">
        <v>27</v>
      </c>
      <c r="D60" s="245">
        <f>SUM(D5:D59)</f>
        <v>729578019.57</v>
      </c>
      <c r="E60" s="245">
        <f>SUM(E5:E59)</f>
        <v>6699652.060000003</v>
      </c>
      <c r="F60" s="245">
        <f>SUM(F5:F59)</f>
        <v>71232699.16</v>
      </c>
      <c r="G60" s="245">
        <f>SUM(G5:G59)</f>
        <v>29570384.169999987</v>
      </c>
      <c r="H60" s="245">
        <f>SUM(H5:H59)</f>
        <v>837080754.9599999</v>
      </c>
      <c r="I60" s="252"/>
      <c r="J60" s="244"/>
      <c r="K60" s="245"/>
    </row>
    <row r="61" ht="24.75" thickTop="1"/>
    <row r="63" spans="4:8" ht="24">
      <c r="D63" s="247">
        <v>729578019.57</v>
      </c>
      <c r="E63" s="247">
        <v>6699652.0600000005</v>
      </c>
      <c r="F63" s="247">
        <v>71232699.15999998</v>
      </c>
      <c r="G63" s="247">
        <v>29570384.16999999</v>
      </c>
      <c r="H63" s="247">
        <v>837080754.96</v>
      </c>
    </row>
    <row r="64" spans="4:8" ht="24">
      <c r="D64" s="247">
        <f>+D60-D63</f>
        <v>0</v>
      </c>
      <c r="E64" s="247">
        <f>+E60-E63</f>
        <v>0</v>
      </c>
      <c r="F64" s="247">
        <f>+F60-F63</f>
        <v>0</v>
      </c>
      <c r="G64" s="247">
        <f>+G60-G63</f>
        <v>0</v>
      </c>
      <c r="H64" s="247">
        <f>+H60-H63</f>
        <v>0</v>
      </c>
    </row>
  </sheetData>
  <sheetProtection/>
  <printOptions horizontalCentered="1"/>
  <pageMargins left="0.419291339" right="0.222440945" top="0.340551181" bottom="0.340551181" header="0.511811023622047" footer="0.511811023622047"/>
  <pageSetup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31" zoomScalePageLayoutView="0" workbookViewId="0" topLeftCell="A1">
      <selection activeCell="E17" sqref="E17"/>
    </sheetView>
  </sheetViews>
  <sheetFormatPr defaultColWidth="9.140625" defaultRowHeight="12.75"/>
  <cols>
    <col min="1" max="1" width="3.8515625" style="27" customWidth="1"/>
    <col min="2" max="2" width="40.8515625" style="56" customWidth="1"/>
    <col min="3" max="3" width="21.28125" style="54" customWidth="1"/>
    <col min="4" max="4" width="19.140625" style="54" customWidth="1"/>
    <col min="5" max="5" width="21.00390625" style="54" customWidth="1"/>
    <col min="6" max="6" width="20.00390625" style="54" customWidth="1"/>
    <col min="7" max="7" width="20.8515625" style="54" customWidth="1"/>
    <col min="8" max="8" width="13.28125" style="54" customWidth="1"/>
    <col min="9" max="9" width="9.8515625" style="54" bestFit="1" customWidth="1"/>
    <col min="10" max="10" width="20.8515625" style="120" customWidth="1"/>
    <col min="11" max="16384" width="9.140625" style="27" customWidth="1"/>
  </cols>
  <sheetData>
    <row r="1" spans="2:10" s="42" customFormat="1" ht="24">
      <c r="B1" s="13" t="s">
        <v>187</v>
      </c>
      <c r="C1" s="23"/>
      <c r="D1" s="23"/>
      <c r="E1" s="23"/>
      <c r="F1" s="23"/>
      <c r="G1" s="23"/>
      <c r="H1" s="23"/>
      <c r="I1" s="23"/>
      <c r="J1" s="118"/>
    </row>
    <row r="2" spans="2:10" s="42" customFormat="1" ht="24">
      <c r="B2" s="13"/>
      <c r="C2" s="23"/>
      <c r="D2" s="23"/>
      <c r="E2" s="23"/>
      <c r="F2" s="23"/>
      <c r="G2" s="23"/>
      <c r="H2" s="23"/>
      <c r="I2" s="23"/>
      <c r="J2" s="118"/>
    </row>
    <row r="3" spans="2:10" s="42" customFormat="1" ht="24">
      <c r="B3" s="13"/>
      <c r="C3" s="23"/>
      <c r="D3" s="23"/>
      <c r="E3" s="23"/>
      <c r="F3" s="23"/>
      <c r="G3" s="23"/>
      <c r="H3" s="23"/>
      <c r="I3" s="23"/>
      <c r="J3" s="119" t="s">
        <v>17</v>
      </c>
    </row>
    <row r="4" spans="1:10" s="44" customFormat="1" ht="24">
      <c r="A4" s="550"/>
      <c r="B4" s="222" t="s">
        <v>13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11</v>
      </c>
      <c r="H4" s="16" t="s">
        <v>9</v>
      </c>
      <c r="I4" s="16" t="s">
        <v>10</v>
      </c>
      <c r="J4" s="15" t="s">
        <v>12</v>
      </c>
    </row>
    <row r="5" spans="1:10" s="23" customFormat="1" ht="48">
      <c r="A5" s="552">
        <v>1</v>
      </c>
      <c r="B5" s="548" t="s">
        <v>343</v>
      </c>
      <c r="C5" s="32">
        <v>260298244.39000005</v>
      </c>
      <c r="D5" s="255">
        <v>3762956.63</v>
      </c>
      <c r="E5" s="32">
        <v>18394275.36</v>
      </c>
      <c r="F5" s="32">
        <v>9538314.219999997</v>
      </c>
      <c r="G5" s="32">
        <f>SUM(C5:F5)</f>
        <v>291993790.6</v>
      </c>
      <c r="H5" s="19">
        <v>91</v>
      </c>
      <c r="I5" s="33" t="s">
        <v>4</v>
      </c>
      <c r="J5" s="32">
        <f aca="true" t="shared" si="0" ref="J5:J12">G5/H5</f>
        <v>3208722.973626374</v>
      </c>
    </row>
    <row r="6" spans="1:10" s="23" customFormat="1" ht="24">
      <c r="A6" s="552">
        <f>+A5+1</f>
        <v>2</v>
      </c>
      <c r="B6" s="547" t="s">
        <v>338</v>
      </c>
      <c r="C6" s="32">
        <v>260099499.02</v>
      </c>
      <c r="D6" s="255">
        <v>8983337.84</v>
      </c>
      <c r="E6" s="32">
        <v>2168326.72</v>
      </c>
      <c r="F6" s="32">
        <v>2704558.77</v>
      </c>
      <c r="G6" s="32">
        <f aca="true" t="shared" si="1" ref="G6:G12">SUM(C6:F6)</f>
        <v>273955722.35</v>
      </c>
      <c r="H6" s="19">
        <v>120</v>
      </c>
      <c r="I6" s="33" t="s">
        <v>4</v>
      </c>
      <c r="J6" s="32">
        <f t="shared" si="0"/>
        <v>2282964.352916667</v>
      </c>
    </row>
    <row r="7" spans="1:10" s="23" customFormat="1" ht="48">
      <c r="A7" s="552">
        <f aca="true" t="shared" si="2" ref="A7:A12">+A6+1</f>
        <v>3</v>
      </c>
      <c r="B7" s="547" t="s">
        <v>339</v>
      </c>
      <c r="C7" s="32">
        <v>12165935.19</v>
      </c>
      <c r="D7" s="255">
        <v>92636.34</v>
      </c>
      <c r="E7" s="32">
        <v>914665.87</v>
      </c>
      <c r="F7" s="32">
        <v>93870.39</v>
      </c>
      <c r="G7" s="32">
        <f t="shared" si="1"/>
        <v>13267107.79</v>
      </c>
      <c r="H7" s="250">
        <v>25</v>
      </c>
      <c r="I7" s="33" t="s">
        <v>4</v>
      </c>
      <c r="J7" s="32">
        <f t="shared" si="0"/>
        <v>530684.3116</v>
      </c>
    </row>
    <row r="8" spans="1:10" s="23" customFormat="1" ht="24">
      <c r="A8" s="552">
        <f t="shared" si="2"/>
        <v>4</v>
      </c>
      <c r="B8" s="547" t="s">
        <v>340</v>
      </c>
      <c r="C8" s="32">
        <v>25153522.84</v>
      </c>
      <c r="D8" s="255">
        <v>57011.63</v>
      </c>
      <c r="E8" s="32">
        <v>1656401.41</v>
      </c>
      <c r="F8" s="32">
        <v>1093052.44</v>
      </c>
      <c r="G8" s="32">
        <f t="shared" si="1"/>
        <v>27959988.32</v>
      </c>
      <c r="H8" s="250">
        <v>2329</v>
      </c>
      <c r="I8" s="33" t="s">
        <v>6</v>
      </c>
      <c r="J8" s="32">
        <f t="shared" si="0"/>
        <v>12005.147410905969</v>
      </c>
    </row>
    <row r="9" spans="1:10" s="23" customFormat="1" ht="24">
      <c r="A9" s="552">
        <f t="shared" si="2"/>
        <v>5</v>
      </c>
      <c r="B9" s="547" t="s">
        <v>342</v>
      </c>
      <c r="C9" s="32">
        <v>24583180.49</v>
      </c>
      <c r="D9" s="255">
        <v>219674.50999999998</v>
      </c>
      <c r="E9" s="32">
        <v>1125996.07</v>
      </c>
      <c r="F9" s="32">
        <v>13143057.11</v>
      </c>
      <c r="G9" s="32">
        <f t="shared" si="1"/>
        <v>39071908.18</v>
      </c>
      <c r="H9" s="19">
        <v>1</v>
      </c>
      <c r="I9" s="33" t="s">
        <v>86</v>
      </c>
      <c r="J9" s="32">
        <f t="shared" si="0"/>
        <v>39071908.18</v>
      </c>
    </row>
    <row r="10" spans="1:10" s="23" customFormat="1" ht="24">
      <c r="A10" s="552">
        <f>+A9+1</f>
        <v>6</v>
      </c>
      <c r="B10" s="548" t="s">
        <v>341</v>
      </c>
      <c r="C10" s="178">
        <v>24299622.03</v>
      </c>
      <c r="D10" s="256">
        <v>78382.05</v>
      </c>
      <c r="E10" s="178">
        <v>561514.98</v>
      </c>
      <c r="F10" s="178">
        <v>235946.69</v>
      </c>
      <c r="G10" s="32">
        <f t="shared" si="1"/>
        <v>25175465.750000004</v>
      </c>
      <c r="H10" s="250">
        <v>73</v>
      </c>
      <c r="I10" s="33" t="s">
        <v>4</v>
      </c>
      <c r="J10" s="178">
        <f t="shared" si="0"/>
        <v>344869.3938356165</v>
      </c>
    </row>
    <row r="11" spans="1:10" s="23" customFormat="1" ht="24">
      <c r="A11" s="552">
        <f t="shared" si="2"/>
        <v>7</v>
      </c>
      <c r="B11" s="548" t="s">
        <v>378</v>
      </c>
      <c r="C11" s="178">
        <v>19972711.689999998</v>
      </c>
      <c r="D11" s="256">
        <v>71259.42</v>
      </c>
      <c r="E11" s="178">
        <v>272673.16</v>
      </c>
      <c r="F11" s="178">
        <v>72729.35</v>
      </c>
      <c r="G11" s="32">
        <f t="shared" si="1"/>
        <v>20389373.62</v>
      </c>
      <c r="H11" s="176">
        <v>10</v>
      </c>
      <c r="I11" s="179" t="s">
        <v>4</v>
      </c>
      <c r="J11" s="178">
        <f t="shared" si="0"/>
        <v>2038937.3620000002</v>
      </c>
    </row>
    <row r="12" spans="1:10" s="23" customFormat="1" ht="48">
      <c r="A12" s="552">
        <f t="shared" si="2"/>
        <v>8</v>
      </c>
      <c r="B12" s="548" t="s">
        <v>406</v>
      </c>
      <c r="C12" s="178">
        <v>60550381.2</v>
      </c>
      <c r="D12" s="256">
        <v>1730722.61</v>
      </c>
      <c r="E12" s="178">
        <v>3960037.3400000003</v>
      </c>
      <c r="F12" s="178">
        <v>199087.83000000002</v>
      </c>
      <c r="G12" s="32">
        <f t="shared" si="1"/>
        <v>66440228.980000004</v>
      </c>
      <c r="H12" s="176">
        <v>14</v>
      </c>
      <c r="I12" s="179" t="s">
        <v>4</v>
      </c>
      <c r="J12" s="178">
        <f t="shared" si="0"/>
        <v>4745730.641428572</v>
      </c>
    </row>
    <row r="13" spans="1:10" s="23" customFormat="1" ht="24.75" thickBot="1">
      <c r="A13" s="583"/>
      <c r="B13" s="549" t="s">
        <v>27</v>
      </c>
      <c r="C13" s="35">
        <f>SUM(C5:C12)</f>
        <v>687123096.8500001</v>
      </c>
      <c r="D13" s="35">
        <f>SUM(D5:D12)</f>
        <v>14995981.03</v>
      </c>
      <c r="E13" s="35">
        <f>SUM(E5:E12)</f>
        <v>29053890.91</v>
      </c>
      <c r="F13" s="35">
        <f>SUM(F5:F12)</f>
        <v>27080616.799999997</v>
      </c>
      <c r="G13" s="35">
        <f>SUM(G5:G12)</f>
        <v>758253585.59</v>
      </c>
      <c r="H13" s="36"/>
      <c r="I13" s="36"/>
      <c r="J13" s="36"/>
    </row>
    <row r="14" spans="2:10" s="42" customFormat="1" ht="24.75" thickTop="1">
      <c r="B14" s="47"/>
      <c r="C14" s="46"/>
      <c r="D14" s="48"/>
      <c r="E14" s="38"/>
      <c r="F14" s="38"/>
      <c r="G14" s="38"/>
      <c r="H14" s="38"/>
      <c r="I14" s="38"/>
      <c r="J14" s="118"/>
    </row>
    <row r="15" spans="2:10" s="42" customFormat="1" ht="24">
      <c r="B15" s="47"/>
      <c r="C15" s="144"/>
      <c r="D15" s="144"/>
      <c r="E15" s="145"/>
      <c r="F15" s="145"/>
      <c r="G15" s="145"/>
      <c r="H15" s="38"/>
      <c r="I15" s="38"/>
      <c r="J15" s="118"/>
    </row>
    <row r="16" spans="2:10" s="42" customFormat="1" ht="24">
      <c r="B16" s="45"/>
      <c r="C16" s="144"/>
      <c r="D16" s="144"/>
      <c r="E16" s="144"/>
      <c r="F16" s="144"/>
      <c r="G16" s="144"/>
      <c r="H16" s="38"/>
      <c r="I16" s="38"/>
      <c r="J16" s="118"/>
    </row>
    <row r="17" spans="2:10" s="42" customFormat="1" ht="24">
      <c r="B17" s="37"/>
      <c r="C17" s="38"/>
      <c r="D17" s="39"/>
      <c r="E17" s="38"/>
      <c r="F17" s="38"/>
      <c r="G17" s="38"/>
      <c r="H17" s="38"/>
      <c r="I17" s="38"/>
      <c r="J17" s="118"/>
    </row>
    <row r="18" spans="2:10" s="42" customFormat="1" ht="24">
      <c r="B18" s="37"/>
      <c r="C18" s="38"/>
      <c r="D18" s="39"/>
      <c r="E18" s="38"/>
      <c r="F18" s="38"/>
      <c r="G18" s="38"/>
      <c r="H18" s="38"/>
      <c r="I18" s="38"/>
      <c r="J18" s="118"/>
    </row>
    <row r="19" spans="2:10" s="42" customFormat="1" ht="24">
      <c r="B19" s="37"/>
      <c r="C19" s="38"/>
      <c r="D19" s="39"/>
      <c r="E19" s="38"/>
      <c r="F19" s="38"/>
      <c r="G19" s="38"/>
      <c r="H19" s="38"/>
      <c r="I19" s="38"/>
      <c r="J19" s="118"/>
    </row>
    <row r="20" spans="2:10" s="42" customFormat="1" ht="24">
      <c r="B20" s="37"/>
      <c r="C20" s="38"/>
      <c r="D20" s="38"/>
      <c r="E20" s="38"/>
      <c r="F20" s="38"/>
      <c r="G20" s="38"/>
      <c r="H20" s="38"/>
      <c r="I20" s="38"/>
      <c r="J20" s="118"/>
    </row>
    <row r="21" spans="2:9" ht="24">
      <c r="B21" s="49"/>
      <c r="C21" s="50"/>
      <c r="D21" s="51"/>
      <c r="E21" s="51"/>
      <c r="F21" s="51"/>
      <c r="G21" s="51"/>
      <c r="H21" s="51"/>
      <c r="I21" s="51"/>
    </row>
    <row r="22" spans="2:9" ht="24">
      <c r="B22" s="49"/>
      <c r="C22" s="50"/>
      <c r="D22" s="51"/>
      <c r="E22" s="51"/>
      <c r="F22" s="51"/>
      <c r="G22" s="51"/>
      <c r="H22" s="51"/>
      <c r="I22" s="51"/>
    </row>
    <row r="23" spans="2:9" ht="24">
      <c r="B23" s="49"/>
      <c r="C23" s="55"/>
      <c r="D23" s="55"/>
      <c r="G23" s="51"/>
      <c r="H23" s="51"/>
      <c r="I23" s="51"/>
    </row>
    <row r="24" ht="24">
      <c r="B24" s="52"/>
    </row>
    <row r="25" spans="2:7" ht="24">
      <c r="B25" s="52"/>
      <c r="C25" s="50"/>
      <c r="D25" s="51"/>
      <c r="E25" s="51"/>
      <c r="F25" s="51"/>
      <c r="G25" s="51"/>
    </row>
    <row r="27" spans="3:6" ht="24">
      <c r="C27" s="55"/>
      <c r="D27" s="55"/>
      <c r="E27" s="55"/>
      <c r="F27" s="55"/>
    </row>
    <row r="28" spans="3:6" ht="24">
      <c r="C28" s="55"/>
      <c r="D28" s="55"/>
      <c r="E28" s="55"/>
      <c r="F28" s="55"/>
    </row>
    <row r="29" spans="3:6" ht="24">
      <c r="C29" s="55"/>
      <c r="D29" s="55"/>
      <c r="E29" s="55"/>
      <c r="F29" s="55"/>
    </row>
    <row r="30" spans="3:6" ht="24">
      <c r="C30" s="55"/>
      <c r="D30" s="55"/>
      <c r="E30" s="55"/>
      <c r="F30" s="55"/>
    </row>
    <row r="31" spans="3:6" ht="24">
      <c r="C31" s="55"/>
      <c r="D31" s="55"/>
      <c r="E31" s="55"/>
      <c r="F31" s="55"/>
    </row>
    <row r="32" spans="3:6" ht="24">
      <c r="C32" s="55"/>
      <c r="D32" s="55"/>
      <c r="E32" s="55"/>
      <c r="F32" s="55"/>
    </row>
    <row r="33" spans="3:6" ht="24">
      <c r="C33" s="55"/>
      <c r="D33" s="55"/>
      <c r="E33" s="55"/>
      <c r="F33" s="55"/>
    </row>
    <row r="34" spans="3:6" ht="24">
      <c r="C34" s="55"/>
      <c r="D34" s="55"/>
      <c r="E34" s="55"/>
      <c r="F34" s="55"/>
    </row>
  </sheetData>
  <sheetProtection/>
  <printOptions horizontalCentered="1"/>
  <pageMargins left="0" right="0" top="0.590551181102362" bottom="0" header="0.511811023622047" footer="0.511811023622047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31" zoomScalePageLayoutView="0" workbookViewId="0" topLeftCell="A1">
      <selection activeCell="A17" sqref="A17:IV19"/>
    </sheetView>
  </sheetViews>
  <sheetFormatPr defaultColWidth="9.140625" defaultRowHeight="12.75"/>
  <cols>
    <col min="1" max="1" width="3.8515625" style="27" customWidth="1"/>
    <col min="2" max="2" width="40.8515625" style="56" customWidth="1"/>
    <col min="3" max="3" width="21.28125" style="54" customWidth="1"/>
    <col min="4" max="4" width="19.140625" style="54" customWidth="1"/>
    <col min="5" max="5" width="21.00390625" style="54" customWidth="1"/>
    <col min="6" max="6" width="20.00390625" style="54" customWidth="1"/>
    <col min="7" max="7" width="20.8515625" style="54" customWidth="1"/>
    <col min="8" max="8" width="13.28125" style="54" customWidth="1"/>
    <col min="9" max="9" width="9.8515625" style="54" bestFit="1" customWidth="1"/>
    <col min="10" max="10" width="20.8515625" style="120" customWidth="1"/>
    <col min="11" max="16384" width="9.140625" style="27" customWidth="1"/>
  </cols>
  <sheetData>
    <row r="1" spans="2:10" s="42" customFormat="1" ht="24">
      <c r="B1" s="13" t="s">
        <v>186</v>
      </c>
      <c r="C1" s="23"/>
      <c r="D1" s="23"/>
      <c r="E1" s="23"/>
      <c r="F1" s="23"/>
      <c r="G1" s="23"/>
      <c r="H1" s="23"/>
      <c r="I1" s="23"/>
      <c r="J1" s="118"/>
    </row>
    <row r="2" spans="2:10" s="42" customFormat="1" ht="24">
      <c r="B2" s="13"/>
      <c r="C2" s="23"/>
      <c r="D2" s="23"/>
      <c r="E2" s="23"/>
      <c r="F2" s="23"/>
      <c r="G2" s="23"/>
      <c r="H2" s="23"/>
      <c r="I2" s="23"/>
      <c r="J2" s="118"/>
    </row>
    <row r="3" spans="2:10" s="42" customFormat="1" ht="24">
      <c r="B3" s="13"/>
      <c r="C3" s="23"/>
      <c r="D3" s="23"/>
      <c r="E3" s="23"/>
      <c r="F3" s="23"/>
      <c r="G3" s="23"/>
      <c r="H3" s="23"/>
      <c r="I3" s="23"/>
      <c r="J3" s="119" t="s">
        <v>17</v>
      </c>
    </row>
    <row r="4" spans="1:10" s="44" customFormat="1" ht="48">
      <c r="A4" s="550"/>
      <c r="B4" s="222" t="s">
        <v>19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11</v>
      </c>
      <c r="H4" s="16" t="s">
        <v>9</v>
      </c>
      <c r="I4" s="16" t="s">
        <v>10</v>
      </c>
      <c r="J4" s="15" t="s">
        <v>12</v>
      </c>
    </row>
    <row r="5" spans="1:10" s="23" customFormat="1" ht="48">
      <c r="A5" s="552">
        <v>1</v>
      </c>
      <c r="B5" s="548" t="s">
        <v>345</v>
      </c>
      <c r="C5" s="32">
        <v>278891055.29999995</v>
      </c>
      <c r="D5" s="199">
        <v>0</v>
      </c>
      <c r="E5" s="32">
        <v>5377699.609999999</v>
      </c>
      <c r="F5" s="199">
        <v>0</v>
      </c>
      <c r="G5" s="32">
        <f>SUM(C5:F5)</f>
        <v>284268754.90999997</v>
      </c>
      <c r="H5" s="19">
        <v>443</v>
      </c>
      <c r="I5" s="33" t="s">
        <v>6</v>
      </c>
      <c r="J5" s="32">
        <f aca="true" t="shared" si="0" ref="J5:J14">G5/H5</f>
        <v>641690.1916704288</v>
      </c>
    </row>
    <row r="6" spans="1:10" s="23" customFormat="1" ht="48">
      <c r="A6" s="552">
        <f>+A5+1</f>
        <v>2</v>
      </c>
      <c r="B6" s="548" t="s">
        <v>344</v>
      </c>
      <c r="C6" s="32">
        <v>116482851.61000003</v>
      </c>
      <c r="D6" s="255">
        <v>3605383.7</v>
      </c>
      <c r="E6" s="32">
        <v>12978571.910000002</v>
      </c>
      <c r="F6" s="32">
        <v>8331086.609999998</v>
      </c>
      <c r="G6" s="32">
        <f aca="true" t="shared" si="1" ref="G6:G14">SUM(C6:F6)</f>
        <v>141397893.83</v>
      </c>
      <c r="H6" s="19">
        <f>437+82</f>
        <v>519</v>
      </c>
      <c r="I6" s="33" t="s">
        <v>5</v>
      </c>
      <c r="J6" s="32">
        <f t="shared" si="0"/>
        <v>272442.95535645477</v>
      </c>
    </row>
    <row r="7" spans="1:10" s="23" customFormat="1" ht="48">
      <c r="A7" s="552">
        <f>+A6+1</f>
        <v>3</v>
      </c>
      <c r="B7" s="547" t="s">
        <v>338</v>
      </c>
      <c r="C7" s="32">
        <v>142040227.78</v>
      </c>
      <c r="D7" s="255">
        <v>8983337.83</v>
      </c>
      <c r="E7" s="32">
        <v>1613890.12</v>
      </c>
      <c r="F7" s="32">
        <v>2704558.78</v>
      </c>
      <c r="G7" s="32">
        <f t="shared" si="1"/>
        <v>155342014.51000002</v>
      </c>
      <c r="H7" s="19">
        <v>120</v>
      </c>
      <c r="I7" s="33" t="s">
        <v>4</v>
      </c>
      <c r="J7" s="32">
        <f t="shared" si="0"/>
        <v>1294516.7875833334</v>
      </c>
    </row>
    <row r="8" spans="1:10" s="23" customFormat="1" ht="72">
      <c r="A8" s="552">
        <f aca="true" t="shared" si="2" ref="A8:A14">+A7+1</f>
        <v>4</v>
      </c>
      <c r="B8" s="547" t="s">
        <v>339</v>
      </c>
      <c r="C8" s="32">
        <v>6399992.829999999</v>
      </c>
      <c r="D8" s="255">
        <v>92636.34</v>
      </c>
      <c r="E8" s="32">
        <v>684669.52</v>
      </c>
      <c r="F8" s="32">
        <v>93870.39</v>
      </c>
      <c r="G8" s="32">
        <f t="shared" si="1"/>
        <v>7271169.079999999</v>
      </c>
      <c r="H8" s="250">
        <v>25</v>
      </c>
      <c r="I8" s="33" t="s">
        <v>4</v>
      </c>
      <c r="J8" s="32">
        <f t="shared" si="0"/>
        <v>290846.7632</v>
      </c>
    </row>
    <row r="9" spans="1:10" s="23" customFormat="1" ht="24">
      <c r="A9" s="552">
        <f t="shared" si="2"/>
        <v>5</v>
      </c>
      <c r="B9" s="547" t="s">
        <v>340</v>
      </c>
      <c r="C9" s="32">
        <v>9075278.12</v>
      </c>
      <c r="D9" s="255">
        <v>57011.63</v>
      </c>
      <c r="E9" s="32">
        <v>1326257.07</v>
      </c>
      <c r="F9" s="32">
        <v>1093052.44</v>
      </c>
      <c r="G9" s="32">
        <f t="shared" si="1"/>
        <v>11551599.26</v>
      </c>
      <c r="H9" s="250">
        <v>2329</v>
      </c>
      <c r="I9" s="33" t="s">
        <v>6</v>
      </c>
      <c r="J9" s="32">
        <f t="shared" si="0"/>
        <v>4959.89663374839</v>
      </c>
    </row>
    <row r="10" spans="1:10" s="23" customFormat="1" ht="24">
      <c r="A10" s="552">
        <f t="shared" si="2"/>
        <v>6</v>
      </c>
      <c r="B10" s="547" t="s">
        <v>342</v>
      </c>
      <c r="C10" s="32">
        <v>15784602.219999999</v>
      </c>
      <c r="D10" s="255">
        <v>219674.50999999998</v>
      </c>
      <c r="E10" s="32">
        <v>798404.3999999999</v>
      </c>
      <c r="F10" s="32">
        <v>13143057.11</v>
      </c>
      <c r="G10" s="32">
        <f t="shared" si="1"/>
        <v>29945738.24</v>
      </c>
      <c r="H10" s="19">
        <v>1</v>
      </c>
      <c r="I10" s="33" t="s">
        <v>86</v>
      </c>
      <c r="J10" s="32">
        <f t="shared" si="0"/>
        <v>29945738.24</v>
      </c>
    </row>
    <row r="11" spans="1:10" s="23" customFormat="1" ht="48">
      <c r="A11" s="552">
        <f t="shared" si="2"/>
        <v>7</v>
      </c>
      <c r="B11" s="548" t="s">
        <v>346</v>
      </c>
      <c r="C11" s="178">
        <v>27091105.3</v>
      </c>
      <c r="D11" s="256">
        <v>157572.94</v>
      </c>
      <c r="E11" s="178">
        <v>1898079.11</v>
      </c>
      <c r="F11" s="178">
        <v>1207227.6199999999</v>
      </c>
      <c r="G11" s="32">
        <f t="shared" si="1"/>
        <v>30353984.970000003</v>
      </c>
      <c r="H11" s="176">
        <v>91</v>
      </c>
      <c r="I11" s="33" t="s">
        <v>4</v>
      </c>
      <c r="J11" s="178">
        <f t="shared" si="0"/>
        <v>333560.27439560444</v>
      </c>
    </row>
    <row r="12" spans="1:10" s="23" customFormat="1" ht="24">
      <c r="A12" s="552">
        <f t="shared" si="2"/>
        <v>8</v>
      </c>
      <c r="B12" s="548" t="s">
        <v>341</v>
      </c>
      <c r="C12" s="178">
        <v>20451372.67</v>
      </c>
      <c r="D12" s="256">
        <v>78382.05</v>
      </c>
      <c r="E12" s="178">
        <v>420546.35</v>
      </c>
      <c r="F12" s="178">
        <v>235946.69</v>
      </c>
      <c r="G12" s="32">
        <f t="shared" si="1"/>
        <v>21186247.760000005</v>
      </c>
      <c r="H12" s="250">
        <v>73</v>
      </c>
      <c r="I12" s="33" t="s">
        <v>4</v>
      </c>
      <c r="J12" s="178">
        <f t="shared" si="0"/>
        <v>290222.5720547946</v>
      </c>
    </row>
    <row r="13" spans="1:10" s="23" customFormat="1" ht="24">
      <c r="A13" s="552">
        <f t="shared" si="2"/>
        <v>9</v>
      </c>
      <c r="B13" s="548" t="s">
        <v>378</v>
      </c>
      <c r="C13" s="178">
        <v>16407121.59</v>
      </c>
      <c r="D13" s="256">
        <v>71259.41</v>
      </c>
      <c r="E13" s="178">
        <v>219253.17</v>
      </c>
      <c r="F13" s="178">
        <v>72729.33</v>
      </c>
      <c r="G13" s="32">
        <f t="shared" si="1"/>
        <v>16770363.5</v>
      </c>
      <c r="H13" s="176">
        <v>10</v>
      </c>
      <c r="I13" s="179" t="s">
        <v>4</v>
      </c>
      <c r="J13" s="178">
        <f t="shared" si="0"/>
        <v>1677036.35</v>
      </c>
    </row>
    <row r="14" spans="1:10" s="23" customFormat="1" ht="48">
      <c r="A14" s="552">
        <f t="shared" si="2"/>
        <v>10</v>
      </c>
      <c r="B14" s="548" t="s">
        <v>406</v>
      </c>
      <c r="C14" s="178">
        <v>54499489.42586051</v>
      </c>
      <c r="D14" s="256">
        <v>1730722.62</v>
      </c>
      <c r="E14" s="178">
        <v>3736519.65</v>
      </c>
      <c r="F14" s="178">
        <v>199087.83000000002</v>
      </c>
      <c r="G14" s="32">
        <f t="shared" si="1"/>
        <v>60165819.5258605</v>
      </c>
      <c r="H14" s="176">
        <v>14</v>
      </c>
      <c r="I14" s="179" t="s">
        <v>4</v>
      </c>
      <c r="J14" s="178">
        <f t="shared" si="0"/>
        <v>4297558.537561464</v>
      </c>
    </row>
    <row r="15" spans="1:10" s="23" customFormat="1" ht="24.75" thickBot="1">
      <c r="A15" s="551"/>
      <c r="B15" s="549" t="s">
        <v>27</v>
      </c>
      <c r="C15" s="35">
        <f>SUM(C5:C14)</f>
        <v>687123096.8458605</v>
      </c>
      <c r="D15" s="35">
        <f>SUM(D5:D14)</f>
        <v>14995981.030000001</v>
      </c>
      <c r="E15" s="35">
        <f>SUM(E5:E14)</f>
        <v>29053890.910000004</v>
      </c>
      <c r="F15" s="35">
        <f>SUM(F5:F14)</f>
        <v>27080616.799999997</v>
      </c>
      <c r="G15" s="35">
        <f>SUM(G5:G14)</f>
        <v>758253585.5858606</v>
      </c>
      <c r="H15" s="36"/>
      <c r="I15" s="36"/>
      <c r="J15" s="36"/>
    </row>
    <row r="16" spans="2:10" s="42" customFormat="1" ht="24.75" thickTop="1">
      <c r="B16" s="47"/>
      <c r="C16" s="46"/>
      <c r="D16" s="48"/>
      <c r="E16" s="38"/>
      <c r="F16" s="38"/>
      <c r="G16" s="38"/>
      <c r="H16" s="38"/>
      <c r="I16" s="38"/>
      <c r="J16" s="118"/>
    </row>
    <row r="17" spans="2:10" s="42" customFormat="1" ht="24">
      <c r="B17" s="47"/>
      <c r="C17" s="144"/>
      <c r="D17" s="144"/>
      <c r="E17" s="145"/>
      <c r="F17" s="145"/>
      <c r="G17" s="145"/>
      <c r="H17" s="38"/>
      <c r="I17" s="38"/>
      <c r="J17" s="118"/>
    </row>
    <row r="18" spans="2:10" s="42" customFormat="1" ht="24">
      <c r="B18" s="45"/>
      <c r="C18" s="46"/>
      <c r="D18" s="46"/>
      <c r="E18" s="46"/>
      <c r="F18" s="46"/>
      <c r="G18" s="46"/>
      <c r="H18" s="38"/>
      <c r="I18" s="38"/>
      <c r="J18" s="118"/>
    </row>
    <row r="19" spans="2:10" s="42" customFormat="1" ht="24">
      <c r="B19" s="37"/>
      <c r="C19" s="38"/>
      <c r="D19" s="39"/>
      <c r="E19" s="38"/>
      <c r="F19" s="38"/>
      <c r="G19" s="38"/>
      <c r="H19" s="38"/>
      <c r="I19" s="38"/>
      <c r="J19" s="118"/>
    </row>
    <row r="20" spans="2:10" s="42" customFormat="1" ht="24">
      <c r="B20" s="37"/>
      <c r="C20" s="38"/>
      <c r="D20" s="39"/>
      <c r="E20" s="38"/>
      <c r="F20" s="38"/>
      <c r="G20" s="38"/>
      <c r="H20" s="38"/>
      <c r="I20" s="38"/>
      <c r="J20" s="118"/>
    </row>
    <row r="21" spans="2:10" s="42" customFormat="1" ht="24">
      <c r="B21" s="37"/>
      <c r="C21" s="38"/>
      <c r="D21" s="39"/>
      <c r="E21" s="38"/>
      <c r="F21" s="38"/>
      <c r="G21" s="38"/>
      <c r="H21" s="38"/>
      <c r="I21" s="38"/>
      <c r="J21" s="118"/>
    </row>
    <row r="22" spans="2:10" s="42" customFormat="1" ht="24">
      <c r="B22" s="37"/>
      <c r="C22" s="38"/>
      <c r="D22" s="38"/>
      <c r="E22" s="38"/>
      <c r="F22" s="38"/>
      <c r="G22" s="38"/>
      <c r="H22" s="38"/>
      <c r="I22" s="38"/>
      <c r="J22" s="118"/>
    </row>
    <row r="23" spans="2:9" ht="24">
      <c r="B23" s="49"/>
      <c r="C23" s="50"/>
      <c r="D23" s="51"/>
      <c r="E23" s="51"/>
      <c r="F23" s="51"/>
      <c r="G23" s="51"/>
      <c r="H23" s="51"/>
      <c r="I23" s="51"/>
    </row>
    <row r="24" spans="2:9" ht="24">
      <c r="B24" s="49"/>
      <c r="C24" s="50"/>
      <c r="D24" s="51"/>
      <c r="E24" s="51"/>
      <c r="F24" s="51"/>
      <c r="G24" s="51"/>
      <c r="H24" s="51"/>
      <c r="I24" s="51"/>
    </row>
    <row r="25" spans="2:9" ht="24">
      <c r="B25" s="49"/>
      <c r="C25" s="50"/>
      <c r="D25" s="51"/>
      <c r="E25" s="51"/>
      <c r="F25" s="51"/>
      <c r="G25" s="51"/>
      <c r="H25" s="51"/>
      <c r="I25" s="51"/>
    </row>
    <row r="26" spans="2:9" ht="24">
      <c r="B26" s="49"/>
      <c r="C26" s="50"/>
      <c r="D26" s="51"/>
      <c r="E26" s="51"/>
      <c r="F26" s="51"/>
      <c r="G26" s="51"/>
      <c r="H26" s="51"/>
      <c r="I26" s="51"/>
    </row>
    <row r="27" spans="2:3" ht="24">
      <c r="B27" s="52"/>
      <c r="C27" s="53"/>
    </row>
    <row r="28" spans="2:4" ht="24">
      <c r="B28" s="52"/>
      <c r="C28" s="55"/>
      <c r="D28" s="55"/>
    </row>
    <row r="30" spans="3:6" ht="24">
      <c r="C30" s="55"/>
      <c r="D30" s="55"/>
      <c r="E30" s="55"/>
      <c r="F30" s="55"/>
    </row>
    <row r="31" spans="3:6" ht="24">
      <c r="C31" s="55"/>
      <c r="D31" s="55"/>
      <c r="E31" s="55"/>
      <c r="F31" s="55"/>
    </row>
    <row r="32" spans="3:6" ht="24">
      <c r="C32" s="55"/>
      <c r="D32" s="55"/>
      <c r="E32" s="55"/>
      <c r="F32" s="55"/>
    </row>
    <row r="33" spans="3:6" ht="24">
      <c r="C33" s="55"/>
      <c r="D33" s="55"/>
      <c r="E33" s="55"/>
      <c r="F33" s="55"/>
    </row>
    <row r="34" spans="3:6" ht="24">
      <c r="C34" s="55"/>
      <c r="D34" s="55"/>
      <c r="E34" s="55"/>
      <c r="F34" s="55"/>
    </row>
    <row r="35" spans="3:6" ht="24">
      <c r="C35" s="55"/>
      <c r="D35" s="55"/>
      <c r="E35" s="55"/>
      <c r="F35" s="55"/>
    </row>
    <row r="36" spans="3:6" ht="24">
      <c r="C36" s="55"/>
      <c r="D36" s="55"/>
      <c r="E36" s="55"/>
      <c r="F36" s="55"/>
    </row>
    <row r="37" spans="3:6" ht="24">
      <c r="C37" s="55"/>
      <c r="D37" s="55"/>
      <c r="E37" s="55"/>
      <c r="F37" s="55"/>
    </row>
    <row r="38" spans="3:6" ht="24">
      <c r="C38" s="55"/>
      <c r="D38" s="55"/>
      <c r="E38" s="55"/>
      <c r="F38" s="55"/>
    </row>
    <row r="39" spans="3:6" ht="24">
      <c r="C39" s="55"/>
      <c r="D39" s="55"/>
      <c r="E39" s="55"/>
      <c r="F39" s="55"/>
    </row>
  </sheetData>
  <sheetProtection/>
  <printOptions horizontalCentered="1"/>
  <pageMargins left="0" right="0" top="0.590551181102362" bottom="0" header="0.511811023622047" footer="0.511811023622047"/>
  <pageSetup orientation="landscape" paperSize="9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31" zoomScalePageLayoutView="0" workbookViewId="0" topLeftCell="A1">
      <selection activeCell="F14" sqref="F14"/>
    </sheetView>
  </sheetViews>
  <sheetFormatPr defaultColWidth="9.140625" defaultRowHeight="12.75"/>
  <cols>
    <col min="1" max="1" width="3.8515625" style="27" customWidth="1"/>
    <col min="2" max="2" width="40.8515625" style="56" customWidth="1"/>
    <col min="3" max="3" width="21.28125" style="54" customWidth="1"/>
    <col min="4" max="4" width="19.140625" style="54" customWidth="1"/>
    <col min="5" max="5" width="21.00390625" style="54" customWidth="1"/>
    <col min="6" max="6" width="20.00390625" style="54" customWidth="1"/>
    <col min="7" max="7" width="20.8515625" style="54" customWidth="1"/>
    <col min="8" max="8" width="13.28125" style="54" customWidth="1"/>
    <col min="9" max="9" width="9.8515625" style="54" bestFit="1" customWidth="1"/>
    <col min="10" max="10" width="20.8515625" style="120" customWidth="1"/>
    <col min="11" max="11" width="9.140625" style="27" customWidth="1"/>
    <col min="12" max="12" width="13.7109375" style="27" bestFit="1" customWidth="1"/>
    <col min="13" max="13" width="14.57421875" style="27" bestFit="1" customWidth="1"/>
    <col min="14" max="16384" width="9.140625" style="27" customWidth="1"/>
  </cols>
  <sheetData>
    <row r="1" spans="2:10" s="42" customFormat="1" ht="24">
      <c r="B1" s="121" t="s">
        <v>74</v>
      </c>
      <c r="C1" s="23"/>
      <c r="D1" s="23"/>
      <c r="E1" s="23"/>
      <c r="F1" s="23"/>
      <c r="G1" s="23"/>
      <c r="H1" s="23"/>
      <c r="I1" s="23"/>
      <c r="J1" s="118"/>
    </row>
    <row r="2" spans="2:10" s="42" customFormat="1" ht="24">
      <c r="B2" s="13"/>
      <c r="C2" s="23"/>
      <c r="D2" s="23"/>
      <c r="E2" s="23"/>
      <c r="F2" s="23"/>
      <c r="G2" s="23"/>
      <c r="H2" s="23"/>
      <c r="I2" s="23"/>
      <c r="J2" s="118"/>
    </row>
    <row r="3" spans="2:10" s="42" customFormat="1" ht="24">
      <c r="B3" s="13"/>
      <c r="C3" s="23"/>
      <c r="D3" s="23"/>
      <c r="E3" s="23"/>
      <c r="F3" s="23"/>
      <c r="G3" s="23"/>
      <c r="H3" s="23"/>
      <c r="I3" s="23"/>
      <c r="J3" s="119" t="s">
        <v>17</v>
      </c>
    </row>
    <row r="4" spans="1:10" s="44" customFormat="1" ht="48">
      <c r="A4" s="550"/>
      <c r="B4" s="222" t="s">
        <v>20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11</v>
      </c>
      <c r="H4" s="16" t="s">
        <v>9</v>
      </c>
      <c r="I4" s="16" t="s">
        <v>10</v>
      </c>
      <c r="J4" s="15" t="s">
        <v>12</v>
      </c>
    </row>
    <row r="5" spans="1:13" s="23" customFormat="1" ht="120">
      <c r="A5" s="552">
        <v>1</v>
      </c>
      <c r="B5" s="548" t="s">
        <v>347</v>
      </c>
      <c r="C5" s="32">
        <f>+'ตารางที่ 5 '!C5</f>
        <v>278891055.29999995</v>
      </c>
      <c r="D5" s="199">
        <f>+'ตารางที่ 5 '!D5</f>
        <v>0</v>
      </c>
      <c r="E5" s="32">
        <f>+'ตารางที่ 5 '!E5</f>
        <v>5377699.609999999</v>
      </c>
      <c r="F5" s="199">
        <f>+'ตารางที่ 5 '!F5</f>
        <v>0</v>
      </c>
      <c r="G5" s="32">
        <f>SUM(C5:F5)</f>
        <v>284268754.90999997</v>
      </c>
      <c r="H5" s="19">
        <v>443</v>
      </c>
      <c r="I5" s="33" t="s">
        <v>6</v>
      </c>
      <c r="J5" s="32">
        <f>G5/H5</f>
        <v>641690.1916704288</v>
      </c>
      <c r="M5" s="53"/>
    </row>
    <row r="6" spans="1:13" s="23" customFormat="1" ht="48">
      <c r="A6" s="552">
        <f>+A5+1</f>
        <v>2</v>
      </c>
      <c r="B6" s="548" t="s">
        <v>348</v>
      </c>
      <c r="C6" s="32">
        <f>+'ตารางที่ 5 '!C6+'ตารางที่ 5 '!C7+'ตารางที่ 5 '!C8+'ตารางที่ 5 '!C9+'ตารางที่ 5 '!C10</f>
        <v>289782952.56000006</v>
      </c>
      <c r="D6" s="32">
        <f>+'ตารางที่ 5 '!D6+'ตารางที่ 5 '!D7+'ตารางที่ 5 '!D8+'ตารางที่ 5 '!D9+'ตารางที่ 5 '!D10</f>
        <v>12958044.010000002</v>
      </c>
      <c r="E6" s="32">
        <f>+'ตารางที่ 5 '!E6+'ตารางที่ 5 '!E7+'ตารางที่ 5 '!E8+'ตารางที่ 5 '!E9+'ตารางที่ 5 '!E10</f>
        <v>17401793.02</v>
      </c>
      <c r="F6" s="32">
        <f>+'ตารางที่ 5 '!F6+'ตารางที่ 5 '!F7+'ตารางที่ 5 '!F8+'ตารางที่ 5 '!F9+'ตารางที่ 5 '!F10</f>
        <v>25365625.33</v>
      </c>
      <c r="G6" s="32">
        <f>SUM(C6:F6)</f>
        <v>345508414.92</v>
      </c>
      <c r="H6" s="19">
        <f>437+82</f>
        <v>519</v>
      </c>
      <c r="I6" s="33" t="s">
        <v>5</v>
      </c>
      <c r="J6" s="32">
        <f>G6/H6</f>
        <v>665719.4892485549</v>
      </c>
      <c r="M6" s="53"/>
    </row>
    <row r="7" spans="1:13" s="23" customFormat="1" ht="120">
      <c r="A7" s="552">
        <f>+A6+1</f>
        <v>3</v>
      </c>
      <c r="B7" s="547" t="s">
        <v>349</v>
      </c>
      <c r="C7" s="32">
        <f>+'ตารางที่ 5 '!C11+'ตารางที่ 5 '!C12+'ตารางที่ 5 '!C13</f>
        <v>63949599.56</v>
      </c>
      <c r="D7" s="32">
        <f>+'ตารางที่ 5 '!D11+'ตารางที่ 5 '!D12+'ตารางที่ 5 '!D13</f>
        <v>307214.4</v>
      </c>
      <c r="E7" s="32">
        <f>+'ตารางที่ 5 '!E11+'ตารางที่ 5 '!E12+'ตารางที่ 5 '!E13</f>
        <v>2537878.63</v>
      </c>
      <c r="F7" s="32">
        <f>+'ตารางที่ 5 '!F11+'ตารางที่ 5 '!F12+'ตารางที่ 5 '!F13</f>
        <v>1515903.64</v>
      </c>
      <c r="G7" s="32">
        <f>SUM(C7:F7)</f>
        <v>68310596.23</v>
      </c>
      <c r="H7" s="19">
        <v>11</v>
      </c>
      <c r="I7" s="33" t="s">
        <v>5</v>
      </c>
      <c r="J7" s="32">
        <f>G7/H7</f>
        <v>6210054.202727273</v>
      </c>
      <c r="M7" s="53"/>
    </row>
    <row r="8" spans="1:13" s="23" customFormat="1" ht="48" hidden="1">
      <c r="A8" s="552"/>
      <c r="B8" s="548" t="s">
        <v>350</v>
      </c>
      <c r="C8" s="178"/>
      <c r="D8" s="178"/>
      <c r="E8" s="178"/>
      <c r="F8" s="178"/>
      <c r="G8" s="32">
        <f>SUM(C8:F8)</f>
        <v>0</v>
      </c>
      <c r="H8" s="176"/>
      <c r="I8" s="179" t="s">
        <v>4</v>
      </c>
      <c r="J8" s="178" t="e">
        <f>G8/H8</f>
        <v>#DIV/0!</v>
      </c>
      <c r="M8" s="53"/>
    </row>
    <row r="9" spans="1:13" s="23" customFormat="1" ht="48">
      <c r="A9" s="552">
        <f>+A7+1</f>
        <v>4</v>
      </c>
      <c r="B9" s="548" t="s">
        <v>406</v>
      </c>
      <c r="C9" s="178">
        <f>+'ตารางที่ 5 '!C14</f>
        <v>54499489.42586051</v>
      </c>
      <c r="D9" s="178">
        <f>+'ตารางที่ 5 '!D14</f>
        <v>1730722.62</v>
      </c>
      <c r="E9" s="178">
        <f>+'ตารางที่ 5 '!E14</f>
        <v>3736519.65</v>
      </c>
      <c r="F9" s="178">
        <f>+'ตารางที่ 5 '!F14</f>
        <v>199087.83000000002</v>
      </c>
      <c r="G9" s="32">
        <f>SUM(C9:F9)</f>
        <v>60165819.5258605</v>
      </c>
      <c r="H9" s="176">
        <v>14</v>
      </c>
      <c r="I9" s="179" t="s">
        <v>4</v>
      </c>
      <c r="J9" s="178">
        <f>G9/H9</f>
        <v>4297558.537561464</v>
      </c>
      <c r="M9" s="53"/>
    </row>
    <row r="10" spans="1:10" s="23" customFormat="1" ht="24.75" thickBot="1">
      <c r="A10" s="551"/>
      <c r="B10" s="549" t="s">
        <v>27</v>
      </c>
      <c r="C10" s="35">
        <f>SUM(C5:C9)</f>
        <v>687123096.8458606</v>
      </c>
      <c r="D10" s="35">
        <f>SUM(D5:D9)</f>
        <v>14995981.030000001</v>
      </c>
      <c r="E10" s="35">
        <f>SUM(E5:E9)</f>
        <v>29053890.909999996</v>
      </c>
      <c r="F10" s="35">
        <f>SUM(F5:F9)</f>
        <v>27080616.799999997</v>
      </c>
      <c r="G10" s="35">
        <f>SUM(G5:G9)</f>
        <v>758253585.5858605</v>
      </c>
      <c r="H10" s="36"/>
      <c r="I10" s="36"/>
      <c r="J10" s="36"/>
    </row>
    <row r="11" spans="2:10" s="42" customFormat="1" ht="24.75" thickTop="1">
      <c r="B11" s="47"/>
      <c r="C11" s="46"/>
      <c r="D11" s="48"/>
      <c r="E11" s="38"/>
      <c r="F11" s="38"/>
      <c r="G11" s="38"/>
      <c r="H11" s="38"/>
      <c r="I11" s="38"/>
      <c r="J11" s="118"/>
    </row>
    <row r="12" spans="2:10" s="42" customFormat="1" ht="24">
      <c r="B12" s="47"/>
      <c r="C12" s="144"/>
      <c r="D12" s="144"/>
      <c r="E12" s="145"/>
      <c r="F12" s="145"/>
      <c r="G12" s="145"/>
      <c r="H12" s="38"/>
      <c r="I12" s="38"/>
      <c r="J12" s="118"/>
    </row>
    <row r="13" spans="2:10" s="42" customFormat="1" ht="24">
      <c r="B13" s="45"/>
      <c r="C13" s="46"/>
      <c r="D13" s="46"/>
      <c r="E13" s="46"/>
      <c r="F13" s="46"/>
      <c r="G13" s="46"/>
      <c r="H13" s="38"/>
      <c r="I13" s="38"/>
      <c r="J13" s="118"/>
    </row>
    <row r="14" spans="2:10" s="42" customFormat="1" ht="24">
      <c r="B14" s="37"/>
      <c r="C14" s="38"/>
      <c r="D14" s="39"/>
      <c r="E14" s="38"/>
      <c r="F14" s="38"/>
      <c r="G14" s="38"/>
      <c r="H14" s="38"/>
      <c r="I14" s="38"/>
      <c r="J14" s="118"/>
    </row>
    <row r="15" spans="2:10" s="42" customFormat="1" ht="24">
      <c r="B15" s="37"/>
      <c r="C15" s="38"/>
      <c r="D15" s="39"/>
      <c r="E15" s="38"/>
      <c r="F15" s="38"/>
      <c r="G15" s="38"/>
      <c r="H15" s="38"/>
      <c r="I15" s="38"/>
      <c r="J15" s="118"/>
    </row>
    <row r="16" spans="2:10" s="42" customFormat="1" ht="24">
      <c r="B16" s="37"/>
      <c r="C16" s="38"/>
      <c r="D16" s="39"/>
      <c r="E16" s="38"/>
      <c r="F16" s="38"/>
      <c r="G16" s="38"/>
      <c r="H16" s="38"/>
      <c r="I16" s="38"/>
      <c r="J16" s="118"/>
    </row>
    <row r="17" spans="2:10" s="42" customFormat="1" ht="24">
      <c r="B17" s="37"/>
      <c r="C17" s="38"/>
      <c r="D17" s="38"/>
      <c r="E17" s="38"/>
      <c r="F17" s="38"/>
      <c r="G17" s="38"/>
      <c r="H17" s="38"/>
      <c r="I17" s="38"/>
      <c r="J17" s="118"/>
    </row>
    <row r="18" spans="2:9" ht="24">
      <c r="B18" s="49"/>
      <c r="C18" s="50"/>
      <c r="D18" s="51"/>
      <c r="E18" s="51"/>
      <c r="F18" s="51"/>
      <c r="G18" s="51"/>
      <c r="H18" s="51"/>
      <c r="I18" s="51"/>
    </row>
    <row r="19" spans="2:9" ht="24">
      <c r="B19" s="49"/>
      <c r="C19" s="50"/>
      <c r="D19" s="51"/>
      <c r="E19" s="51"/>
      <c r="F19" s="51"/>
      <c r="G19" s="51"/>
      <c r="H19" s="51"/>
      <c r="I19" s="51"/>
    </row>
    <row r="20" spans="2:9" ht="24">
      <c r="B20" s="49"/>
      <c r="C20" s="50"/>
      <c r="D20" s="51"/>
      <c r="E20" s="51"/>
      <c r="F20" s="51"/>
      <c r="G20" s="51"/>
      <c r="H20" s="51"/>
      <c r="I20" s="51"/>
    </row>
    <row r="21" spans="2:9" ht="24">
      <c r="B21" s="49"/>
      <c r="C21" s="50"/>
      <c r="D21" s="51"/>
      <c r="E21" s="51"/>
      <c r="F21" s="51"/>
      <c r="G21" s="51"/>
      <c r="H21" s="51"/>
      <c r="I21" s="51"/>
    </row>
    <row r="22" spans="2:3" ht="24">
      <c r="B22" s="52"/>
      <c r="C22" s="53"/>
    </row>
    <row r="23" spans="2:4" ht="24">
      <c r="B23" s="52"/>
      <c r="C23" s="55"/>
      <c r="D23" s="55"/>
    </row>
  </sheetData>
  <sheetProtection/>
  <printOptions horizontalCentered="1"/>
  <pageMargins left="0" right="0" top="0.590551181102362" bottom="0" header="0.511811023622047" footer="0.511811023622047"/>
  <pageSetup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Sujittra Singhnakrong</dc:creator>
  <cp:keywords/>
  <dc:description/>
  <cp:lastModifiedBy>Sujittra Singhnakrong</cp:lastModifiedBy>
  <cp:lastPrinted>2020-02-12T07:16:49Z</cp:lastPrinted>
  <dcterms:created xsi:type="dcterms:W3CDTF">2009-02-18T01:44:08Z</dcterms:created>
  <dcterms:modified xsi:type="dcterms:W3CDTF">2020-02-12T07:33:09Z</dcterms:modified>
  <cp:category/>
  <cp:version/>
  <cp:contentType/>
  <cp:contentStatus/>
</cp:coreProperties>
</file>